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ae.sharepoint.com/sites/ASAELearningConferences/Shared Documents/MMCC/FY21/Presentations-Handouts/Friday, June 4/11 15 am - 12 00 pm/"/>
    </mc:Choice>
  </mc:AlternateContent>
  <xr:revisionPtr revIDLastSave="0" documentId="8_{B80CDC49-DFEA-4F98-A500-0C0B3A296CCA}" xr6:coauthVersionLast="46" xr6:coauthVersionMax="46" xr10:uidLastSave="{00000000-0000-0000-0000-000000000000}"/>
  <bookViews>
    <workbookView xWindow="32280" yWindow="-120" windowWidth="25440" windowHeight="15390" tabRatio="601" activeTab="1" xr2:uid="{00000000-000D-0000-FFFF-FFFF00000000}"/>
  </bookViews>
  <sheets>
    <sheet name="2021 Projections" sheetId="12" r:id="rId1"/>
    <sheet name="Dues based on Revenue" sheetId="4" r:id="rId2"/>
    <sheet name="Dues based on FTE" sheetId="7" r:id="rId3"/>
  </sheets>
  <definedNames>
    <definedName name="_xlnm._FilterDatabase" localSheetId="2" hidden="1">'Dues based on FTE'!$A$1:$AA$13</definedName>
    <definedName name="_xlnm._FilterDatabase" localSheetId="1" hidden="1">'Dues based on Revenue'!$A$1:$AC$13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B18" i="12" l="1"/>
  <c r="B9" i="12"/>
  <c r="B8" i="12"/>
  <c r="B4" i="12"/>
  <c r="B6" i="12"/>
  <c r="W2" i="4"/>
  <c r="U2" i="4"/>
  <c r="U4" i="4"/>
  <c r="U5" i="4"/>
  <c r="U6" i="4"/>
  <c r="U7" i="4"/>
  <c r="U8" i="4"/>
  <c r="U9" i="4"/>
  <c r="U10" i="4"/>
  <c r="U11" i="4"/>
  <c r="U12" i="4"/>
  <c r="U13" i="4"/>
  <c r="U3" i="4"/>
  <c r="T4" i="4"/>
  <c r="T5" i="4"/>
  <c r="T6" i="4"/>
  <c r="T7" i="4"/>
  <c r="T8" i="4"/>
  <c r="T9" i="4"/>
  <c r="T10" i="4"/>
  <c r="T11" i="4"/>
  <c r="T12" i="4"/>
  <c r="T13" i="4"/>
  <c r="T3" i="4"/>
  <c r="R2" i="4"/>
  <c r="Q2" i="4"/>
  <c r="T2" i="4" s="1"/>
  <c r="P2" i="4"/>
  <c r="O2" i="4"/>
  <c r="M2" i="4"/>
  <c r="L2" i="4"/>
  <c r="L3" i="4"/>
  <c r="K2" i="4"/>
  <c r="V4" i="7"/>
  <c r="V5" i="7"/>
  <c r="V6" i="7"/>
  <c r="V7" i="7"/>
  <c r="V8" i="7"/>
  <c r="V9" i="7"/>
  <c r="V10" i="7"/>
  <c r="V11" i="7"/>
  <c r="V12" i="7"/>
  <c r="V13" i="7"/>
  <c r="V3" i="7"/>
  <c r="T4" i="7"/>
  <c r="T5" i="7"/>
  <c r="T6" i="7"/>
  <c r="T7" i="7"/>
  <c r="T8" i="7"/>
  <c r="T9" i="7"/>
  <c r="T10" i="7"/>
  <c r="T11" i="7"/>
  <c r="T12" i="7"/>
  <c r="T13" i="7"/>
  <c r="T3" i="7"/>
  <c r="S2" i="7"/>
  <c r="S4" i="7"/>
  <c r="S5" i="7"/>
  <c r="S6" i="7"/>
  <c r="S7" i="7"/>
  <c r="S8" i="7"/>
  <c r="S9" i="7"/>
  <c r="S10" i="7"/>
  <c r="S11" i="7"/>
  <c r="S12" i="7"/>
  <c r="S13" i="7"/>
  <c r="S3" i="7"/>
  <c r="R2" i="7"/>
  <c r="Q2" i="7"/>
  <c r="P2" i="7"/>
  <c r="O2" i="7"/>
  <c r="N2" i="7"/>
  <c r="L2" i="7"/>
  <c r="K2" i="7"/>
  <c r="W4" i="4" l="1"/>
  <c r="W5" i="4"/>
  <c r="W6" i="4"/>
  <c r="W7" i="4"/>
  <c r="W8" i="4"/>
  <c r="W9" i="4"/>
  <c r="W10" i="4"/>
  <c r="W11" i="4"/>
  <c r="W12" i="4"/>
  <c r="W13" i="4"/>
  <c r="W3" i="4"/>
  <c r="R12" i="4"/>
  <c r="S12" i="4" s="1"/>
  <c r="S4" i="4"/>
  <c r="S5" i="4"/>
  <c r="S6" i="4"/>
  <c r="S7" i="4"/>
  <c r="S8" i="4"/>
  <c r="S10" i="4"/>
  <c r="S11" i="4"/>
  <c r="S13" i="4"/>
  <c r="S3" i="4"/>
  <c r="S2" i="4" s="1"/>
  <c r="R9" i="4"/>
  <c r="S9" i="4" s="1"/>
  <c r="B14" i="12" l="1"/>
  <c r="B13" i="12" l="1"/>
  <c r="B12" i="12" l="1"/>
  <c r="B5" i="12" l="1"/>
  <c r="B16" i="12" l="1"/>
  <c r="B17" i="12" s="1"/>
</calcChain>
</file>

<file path=xl/sharedStrings.xml><?xml version="1.0" encoding="utf-8"?>
<sst xmlns="http://schemas.openxmlformats.org/spreadsheetml/2006/main" count="205" uniqueCount="95">
  <si>
    <t>2021 Projected Dues</t>
  </si>
  <si>
    <t>Notes</t>
  </si>
  <si>
    <t>Private</t>
  </si>
  <si>
    <t xml:space="preserve">2021 Dues Revenue Model </t>
  </si>
  <si>
    <t>1)  Health  Dues</t>
  </si>
  <si>
    <t>2021 Projected</t>
  </si>
  <si>
    <t xml:space="preserve">   a.  2021 Health dues revenue from current members</t>
  </si>
  <si>
    <t xml:space="preserve">        i.  2020 dues recognized in 2021</t>
  </si>
  <si>
    <t xml:space="preserve">        ii. 2021 merger fee recognized in 2021</t>
  </si>
  <si>
    <t xml:space="preserve">   b. Net gain from new Health recruits</t>
  </si>
  <si>
    <t xml:space="preserve">   c. Net loss from Health member drops</t>
  </si>
  <si>
    <t xml:space="preserve">Total Forecasted Health Section Revenue:  </t>
  </si>
  <si>
    <t>2) Emerging Company Dues</t>
  </si>
  <si>
    <t xml:space="preserve">   a.  2021 ECS dues revenue from current members</t>
  </si>
  <si>
    <t xml:space="preserve">   b.  Net gain from new ECS members</t>
  </si>
  <si>
    <t xml:space="preserve">   c. Net loss from ECS member drops</t>
  </si>
  <si>
    <t xml:space="preserve">Total Forecasted ECS Revenue:  </t>
  </si>
  <si>
    <t>Activation Date</t>
  </si>
  <si>
    <t>End Date</t>
  </si>
  <si>
    <t>Health Section %</t>
  </si>
  <si>
    <t>Section Count</t>
  </si>
  <si>
    <t>Board Member</t>
  </si>
  <si>
    <t>2018 FTE</t>
  </si>
  <si>
    <t>2019 FTE</t>
  </si>
  <si>
    <t>Public/Private</t>
  </si>
  <si>
    <t>2018 Rev (M)</t>
  </si>
  <si>
    <t>2019 Rev (M)</t>
  </si>
  <si>
    <t>2020 Total Dues</t>
  </si>
  <si>
    <t>2021 Full dues</t>
  </si>
  <si>
    <t>2021 Proj M&amp;A</t>
  </si>
  <si>
    <t>2021 Applied to 2021</t>
  </si>
  <si>
    <t>2021 Applied to 2022</t>
  </si>
  <si>
    <t>% Change</t>
  </si>
  <si>
    <t>$ Change</t>
  </si>
  <si>
    <t>% Drop</t>
  </si>
  <si>
    <t>$ Drop</t>
  </si>
  <si>
    <t>BBS User</t>
  </si>
  <si>
    <t>Committee members</t>
  </si>
  <si>
    <t>BBS Savings total</t>
  </si>
  <si>
    <t>Reviewed on</t>
  </si>
  <si>
    <t>DP Letter sent</t>
  </si>
  <si>
    <t>Invoice Sent</t>
  </si>
  <si>
    <t>Total</t>
  </si>
  <si>
    <t>N/A</t>
  </si>
  <si>
    <t>Public</t>
  </si>
  <si>
    <t>No</t>
  </si>
  <si>
    <t>2021 dues includes 50% off  regular dues of $107K based on 100M EUR Revenue. 2022 dues should include a 25% based on 2020 revenue and 2022 Dues scale. 2023 dues, no discount and should be based on 2021 revenue and 2023 dues scale.</t>
  </si>
  <si>
    <t>Special letter; meet in middle on 2021 dues, 2022 will be based on 2020 full revenue</t>
  </si>
  <si>
    <t>Back in full. Requested financial reprieve in 2020- assessing dues on product revenue only in 2020. 2018 actual revenue was $599,674,000.</t>
  </si>
  <si>
    <t>Yes</t>
  </si>
  <si>
    <t>2021 Full Dues</t>
  </si>
  <si>
    <t>BBS Usage</t>
  </si>
  <si>
    <t>Committee Members</t>
  </si>
  <si>
    <t>Revised</t>
  </si>
  <si>
    <t>e</t>
  </si>
  <si>
    <t>No Letter</t>
  </si>
  <si>
    <t>Example C - Discounted rate due to high increase in Revenue</t>
  </si>
  <si>
    <t>Example D - Discounted rate due to high increase in Revenue</t>
  </si>
  <si>
    <t>Example F - paying full dues, Jan-Dec Cycle, Board member</t>
  </si>
  <si>
    <t>Example E - paying dues on product revenue only, Jan-Dec Cycle</t>
  </si>
  <si>
    <t>Example I - full dues, Jan-Dec Cycle, Board member, M&amp;A fee</t>
  </si>
  <si>
    <t>Example J - full dues, Jan-Dec Cycle, Board member, 2 M&amp;A fees</t>
  </si>
  <si>
    <t xml:space="preserve">Y1 fee for MA of Company XX. </t>
  </si>
  <si>
    <t>Example K - full dues, prorated amount, board member</t>
  </si>
  <si>
    <t xml:space="preserve">Bad news in late Sept, cutting 35% of their staff and in cost-cutting mode. </t>
  </si>
  <si>
    <t>Example L - Projections based on news</t>
  </si>
  <si>
    <t>Example B - Paying dues on a Glide</t>
  </si>
  <si>
    <t>Example H - High Drop probability, prorated amount</t>
  </si>
  <si>
    <t>Companies based on Full Time Employees. Revenue &lt;$25M. ECS Section</t>
  </si>
  <si>
    <t>Companies Based on Revenue &gt;$25M  Health Section</t>
  </si>
  <si>
    <t xml:space="preserve">Example A - paying full dues, </t>
  </si>
  <si>
    <t xml:space="preserve">Y1 Fee for MA of Company X ($1200) + Y1 for Company Y ($54,000). </t>
  </si>
  <si>
    <t xml:space="preserve">Special letter; meet in middle on 2021 dues, 2022 will be based on 2020 full revenue. </t>
  </si>
  <si>
    <t>Company A</t>
  </si>
  <si>
    <t>Company B</t>
  </si>
  <si>
    <t>Company C</t>
  </si>
  <si>
    <t>Company D</t>
  </si>
  <si>
    <t>Company E</t>
  </si>
  <si>
    <t>Company F</t>
  </si>
  <si>
    <t>Company G</t>
  </si>
  <si>
    <t>Company H</t>
  </si>
  <si>
    <t>Y1 fee for MA of Company XYZ</t>
  </si>
  <si>
    <t>Product revenue only. Calculate dues based on FTE</t>
  </si>
  <si>
    <t>Y3 fee for MA of Company ABC</t>
  </si>
  <si>
    <t xml:space="preserve">Per Colleague: very engaged. Recent news: $1.6B gov't grant. </t>
  </si>
  <si>
    <t>Company I</t>
  </si>
  <si>
    <t>Company J</t>
  </si>
  <si>
    <t>Company K</t>
  </si>
  <si>
    <t>2020 Applied to 2020</t>
  </si>
  <si>
    <t>2020 Applied to 2021</t>
  </si>
  <si>
    <t>2021 Dues applied to 2021</t>
  </si>
  <si>
    <t>2021Dues Applied to 2022</t>
  </si>
  <si>
    <t xml:space="preserve">2021 Total Dues </t>
  </si>
  <si>
    <t>Grand Total 2021 dues Projection</t>
  </si>
  <si>
    <t>2021 Total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</si>
</sst>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;[Red]&quot;$&quot;#,##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0B4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3">
    <xf numFmtId="0" fontId="0" fillId="0" borderId="0" xfId="0" applyNumberFormat="1"/>
    <xf numFmtId="0" fontId="0" fillId="0" borderId="0" xfId="0" applyNumberFormat="1" applyFill="1"/>
    <xf numFmtId="164" fontId="0" fillId="0" borderId="0" xfId="0" applyNumberFormat="1" applyFill="1"/>
    <xf numFmtId="164" fontId="0" fillId="0" borderId="0" xfId="0" applyNumberFormat="1"/>
    <xf numFmtId="0" fontId="0" fillId="0" borderId="0" xfId="0" applyNumberFormat="1" applyFill="1" applyAlignment="1">
      <alignment horizontal="center" wrapText="1"/>
    </xf>
    <xf numFmtId="1" fontId="0" fillId="0" borderId="0" xfId="0" applyNumberFormat="1"/>
    <xf numFmtId="0" fontId="3" fillId="0" borderId="1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6" xfId="0" applyFont="1" applyBorder="1" applyAlignment="1">
      <alignment vertical="center"/>
    </xf>
    <xf numFmtId="0" fontId="7" fillId="6" borderId="6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6" fontId="3" fillId="0" borderId="14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164" fontId="7" fillId="0" borderId="23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0" fontId="7" fillId="7" borderId="6" xfId="0" applyFont="1" applyFill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/>
    <xf numFmtId="0" fontId="1" fillId="0" borderId="14" xfId="0" applyNumberFormat="1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Border="1"/>
    <xf numFmtId="0" fontId="0" fillId="0" borderId="14" xfId="0" applyNumberFormat="1" applyBorder="1"/>
    <xf numFmtId="14" fontId="0" fillId="0" borderId="14" xfId="0" applyNumberFormat="1" applyBorder="1"/>
    <xf numFmtId="164" fontId="9" fillId="0" borderId="14" xfId="0" applyNumberFormat="1" applyFont="1" applyBorder="1"/>
    <xf numFmtId="164" fontId="0" fillId="0" borderId="14" xfId="0" applyNumberFormat="1" applyBorder="1"/>
    <xf numFmtId="164" fontId="0" fillId="3" borderId="14" xfId="0" applyNumberFormat="1" applyFill="1" applyBorder="1"/>
    <xf numFmtId="164" fontId="0" fillId="2" borderId="14" xfId="0" applyNumberFormat="1" applyFill="1" applyBorder="1"/>
    <xf numFmtId="9" fontId="0" fillId="0" borderId="14" xfId="0" applyNumberFormat="1" applyBorder="1"/>
    <xf numFmtId="0" fontId="0" fillId="0" borderId="14" xfId="0" applyNumberFormat="1" applyFill="1" applyBorder="1"/>
    <xf numFmtId="14" fontId="0" fillId="0" borderId="14" xfId="0" applyNumberFormat="1" applyFill="1" applyBorder="1"/>
    <xf numFmtId="164" fontId="0" fillId="0" borderId="14" xfId="0" applyNumberFormat="1" applyFill="1" applyBorder="1"/>
    <xf numFmtId="0" fontId="1" fillId="0" borderId="14" xfId="0" applyNumberFormat="1" applyFont="1" applyFill="1" applyBorder="1"/>
    <xf numFmtId="1" fontId="0" fillId="0" borderId="14" xfId="0" applyNumberFormat="1" applyBorder="1"/>
    <xf numFmtId="1" fontId="9" fillId="0" borderId="14" xfId="0" applyNumberFormat="1" applyFont="1" applyBorder="1"/>
    <xf numFmtId="0" fontId="0" fillId="3" borderId="14" xfId="0" applyNumberFormat="1" applyFill="1" applyBorder="1"/>
    <xf numFmtId="0" fontId="9" fillId="0" borderId="14" xfId="0" applyNumberFormat="1" applyFont="1" applyFill="1" applyBorder="1"/>
    <xf numFmtId="164" fontId="9" fillId="0" borderId="14" xfId="0" applyNumberFormat="1" applyFont="1" applyFill="1" applyBorder="1"/>
    <xf numFmtId="9" fontId="0" fillId="0" borderId="14" xfId="0" applyNumberFormat="1" applyFill="1" applyBorder="1"/>
    <xf numFmtId="164" fontId="1" fillId="0" borderId="0" xfId="0" applyNumberFormat="1" applyFont="1" applyFill="1"/>
    <xf numFmtId="164" fontId="0" fillId="9" borderId="14" xfId="0" applyNumberFormat="1" applyFill="1" applyBorder="1"/>
    <xf numFmtId="166" fontId="1" fillId="0" borderId="14" xfId="0" applyNumberFormat="1" applyFont="1" applyFill="1" applyBorder="1" applyAlignment="1">
      <alignment horizontal="center" wrapText="1"/>
    </xf>
    <xf numFmtId="166" fontId="0" fillId="0" borderId="14" xfId="0" applyNumberFormat="1" applyFill="1" applyBorder="1"/>
    <xf numFmtId="166" fontId="0" fillId="0" borderId="0" xfId="0" applyNumberFormat="1" applyFill="1"/>
    <xf numFmtId="164" fontId="11" fillId="9" borderId="14" xfId="0" applyNumberFormat="1" applyFont="1" applyFill="1" applyBorder="1"/>
    <xf numFmtId="1" fontId="1" fillId="0" borderId="0" xfId="0" applyNumberFormat="1" applyFont="1"/>
    <xf numFmtId="164" fontId="0" fillId="5" borderId="14" xfId="0" applyNumberFormat="1" applyFill="1" applyBorder="1"/>
    <xf numFmtId="164" fontId="1" fillId="0" borderId="16" xfId="0" applyNumberFormat="1" applyFont="1" applyFill="1" applyBorder="1" applyAlignment="1">
      <alignment horizontal="center" wrapText="1"/>
    </xf>
    <xf numFmtId="0" fontId="0" fillId="3" borderId="16" xfId="0" applyNumberFormat="1" applyFill="1" applyBorder="1"/>
    <xf numFmtId="0" fontId="0" fillId="3" borderId="16" xfId="0" applyFill="1" applyBorder="1"/>
    <xf numFmtId="0" fontId="0" fillId="0" borderId="14" xfId="0" applyNumberFormat="1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164" fontId="1" fillId="9" borderId="14" xfId="0" applyNumberFormat="1" applyFont="1" applyFill="1" applyBorder="1" applyAlignment="1">
      <alignment horizontal="center" wrapText="1"/>
    </xf>
    <xf numFmtId="0" fontId="1" fillId="6" borderId="14" xfId="0" applyNumberFormat="1" applyFont="1" applyFill="1" applyBorder="1" applyAlignment="1">
      <alignment horizontal="center" wrapText="1"/>
    </xf>
    <xf numFmtId="14" fontId="1" fillId="6" borderId="14" xfId="0" applyNumberFormat="1" applyFont="1" applyFill="1" applyBorder="1" applyAlignment="1">
      <alignment horizontal="center" wrapText="1"/>
    </xf>
    <xf numFmtId="1" fontId="1" fillId="6" borderId="14" xfId="0" applyNumberFormat="1" applyFont="1" applyFill="1" applyBorder="1" applyAlignment="1">
      <alignment horizontal="center" wrapText="1"/>
    </xf>
    <xf numFmtId="164" fontId="1" fillId="6" borderId="14" xfId="0" applyNumberFormat="1" applyFont="1" applyFill="1" applyBorder="1" applyAlignment="1">
      <alignment horizontal="center" wrapText="1"/>
    </xf>
    <xf numFmtId="164" fontId="1" fillId="2" borderId="14" xfId="0" applyNumberFormat="1" applyFont="1" applyFill="1" applyBorder="1" applyAlignment="1">
      <alignment horizontal="center"/>
    </xf>
    <xf numFmtId="164" fontId="10" fillId="9" borderId="14" xfId="0" applyNumberFormat="1" applyFont="1" applyFill="1" applyBorder="1" applyAlignment="1">
      <alignment horizontal="center"/>
    </xf>
    <xf numFmtId="164" fontId="1" fillId="8" borderId="14" xfId="0" applyNumberFormat="1" applyFont="1" applyFill="1" applyBorder="1" applyAlignment="1">
      <alignment horizontal="center" wrapText="1"/>
    </xf>
    <xf numFmtId="6" fontId="3" fillId="0" borderId="21" xfId="0" applyNumberFormat="1" applyFont="1" applyBorder="1" applyAlignment="1">
      <alignment vertical="center"/>
    </xf>
    <xf numFmtId="0" fontId="0" fillId="0" borderId="14" xfId="0" applyNumberFormat="1" applyFill="1" applyBorder="1" applyAlignment="1">
      <alignment horizontal="center"/>
    </xf>
    <xf numFmtId="6" fontId="4" fillId="0" borderId="1" xfId="0" applyNumberFormat="1" applyFont="1" applyBorder="1" applyAlignment="1">
      <alignment horizontal="center" vertical="center" wrapText="1"/>
    </xf>
    <xf numFmtId="9" fontId="11" fillId="0" borderId="14" xfId="0" applyNumberFormat="1" applyFont="1" applyBorder="1"/>
    <xf numFmtId="0" fontId="0" fillId="0" borderId="0" xfId="0" applyNumberFormat="1" applyFill="1" applyAlignment="1">
      <alignment horizontal="center"/>
    </xf>
    <xf numFmtId="1" fontId="1" fillId="6" borderId="16" xfId="0" applyNumberFormat="1" applyFont="1" applyFill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center" wrapText="1"/>
    </xf>
    <xf numFmtId="0" fontId="0" fillId="0" borderId="16" xfId="0" applyNumberFormat="1" applyBorder="1"/>
    <xf numFmtId="16" fontId="0" fillId="0" borderId="14" xfId="0" applyNumberFormat="1" applyBorder="1"/>
    <xf numFmtId="0" fontId="0" fillId="0" borderId="14" xfId="0" applyNumberFormat="1" applyBorder="1" applyAlignment="1">
      <alignment horizontal="center"/>
    </xf>
    <xf numFmtId="1" fontId="1" fillId="0" borderId="14" xfId="0" applyNumberFormat="1" applyFont="1" applyBorder="1" applyAlignment="1">
      <alignment horizontal="center" wrapText="1"/>
    </xf>
    <xf numFmtId="1" fontId="1" fillId="10" borderId="16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164" fontId="1" fillId="6" borderId="16" xfId="0" applyNumberFormat="1" applyFont="1" applyFill="1" applyBorder="1" applyAlignment="1">
      <alignment horizontal="center" wrapText="1"/>
    </xf>
    <xf numFmtId="164" fontId="0" fillId="0" borderId="16" xfId="0" applyNumberFormat="1" applyFill="1" applyBorder="1" applyAlignment="1">
      <alignment horizontal="center"/>
    </xf>
    <xf numFmtId="165" fontId="3" fillId="0" borderId="16" xfId="0" applyNumberFormat="1" applyFont="1" applyBorder="1" applyAlignment="1">
      <alignment vertical="center"/>
    </xf>
    <xf numFmtId="9" fontId="2" fillId="0" borderId="14" xfId="0" applyNumberFormat="1" applyFont="1" applyFill="1" applyBorder="1"/>
    <xf numFmtId="164" fontId="14" fillId="5" borderId="1" xfId="0" applyNumberFormat="1" applyFont="1" applyFill="1" applyBorder="1" applyAlignment="1">
      <alignment vertical="center" wrapText="1"/>
    </xf>
    <xf numFmtId="164" fontId="1" fillId="0" borderId="25" xfId="0" applyNumberFormat="1" applyFont="1" applyFill="1" applyBorder="1" applyAlignment="1">
      <alignment horizontal="center" wrapText="1"/>
    </xf>
    <xf numFmtId="164" fontId="1" fillId="4" borderId="26" xfId="0" applyNumberFormat="1" applyFont="1" applyFill="1" applyBorder="1" applyAlignment="1">
      <alignment horizontal="center" wrapText="1"/>
    </xf>
    <xf numFmtId="164" fontId="1" fillId="9" borderId="26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9" borderId="26" xfId="0" applyNumberFormat="1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/>
    <xf numFmtId="164" fontId="0" fillId="0" borderId="9" xfId="0" applyNumberFormat="1" applyFill="1" applyBorder="1"/>
    <xf numFmtId="164" fontId="0" fillId="0" borderId="9" xfId="0" applyNumberFormat="1" applyBorder="1"/>
    <xf numFmtId="164" fontId="1" fillId="0" borderId="10" xfId="0" applyNumberFormat="1" applyFont="1" applyFill="1" applyBorder="1"/>
    <xf numFmtId="164" fontId="0" fillId="0" borderId="27" xfId="0" applyNumberFormat="1" applyFill="1" applyBorder="1"/>
    <xf numFmtId="164" fontId="0" fillId="9" borderId="27" xfId="0" applyNumberFormat="1" applyFill="1" applyBorder="1"/>
    <xf numFmtId="164" fontId="0" fillId="2" borderId="27" xfId="0" applyNumberFormat="1" applyFill="1" applyBorder="1"/>
    <xf numFmtId="164" fontId="0" fillId="0" borderId="11" xfId="0" applyNumberFormat="1" applyFill="1" applyBorder="1"/>
    <xf numFmtId="164" fontId="1" fillId="6" borderId="1" xfId="0" applyNumberFormat="1" applyFont="1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6" borderId="3" xfId="0" applyNumberFormat="1" applyFont="1" applyFill="1" applyBorder="1" applyAlignment="1">
      <alignment horizontal="center" wrapText="1"/>
    </xf>
    <xf numFmtId="164" fontId="1" fillId="6" borderId="24" xfId="0" applyNumberFormat="1" applyFont="1" applyFill="1" applyBorder="1" applyAlignment="1">
      <alignment horizontal="center" wrapText="1"/>
    </xf>
    <xf numFmtId="164" fontId="1" fillId="6" borderId="12" xfId="0" applyNumberFormat="1" applyFont="1" applyFill="1" applyBorder="1" applyAlignment="1">
      <alignment horizontal="center" wrapText="1"/>
    </xf>
    <xf numFmtId="164" fontId="1" fillId="6" borderId="28" xfId="0" applyNumberFormat="1" applyFont="1" applyFill="1" applyBorder="1" applyAlignment="1">
      <alignment horizontal="center" wrapText="1"/>
    </xf>
    <xf numFmtId="164" fontId="1" fillId="9" borderId="9" xfId="0" applyNumberFormat="1" applyFont="1" applyFill="1" applyBorder="1" applyAlignment="1">
      <alignment horizontal="center" wrapText="1"/>
    </xf>
    <xf numFmtId="164" fontId="0" fillId="0" borderId="8" xfId="0" applyNumberFormat="1" applyFill="1" applyBorder="1"/>
    <xf numFmtId="164" fontId="0" fillId="0" borderId="8" xfId="0" applyNumberFormat="1" applyBorder="1"/>
    <xf numFmtId="164" fontId="0" fillId="0" borderId="8" xfId="0" applyNumberFormat="1" applyFont="1" applyBorder="1"/>
    <xf numFmtId="164" fontId="0" fillId="0" borderId="10" xfId="0" applyNumberFormat="1" applyBorder="1"/>
    <xf numFmtId="14" fontId="1" fillId="6" borderId="12" xfId="0" applyNumberFormat="1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166" fontId="1" fillId="6" borderId="12" xfId="0" applyNumberFormat="1" applyFont="1" applyFill="1" applyBorder="1" applyAlignment="1">
      <alignment horizontal="center" wrapText="1"/>
    </xf>
    <xf numFmtId="164" fontId="1" fillId="6" borderId="26" xfId="0" applyNumberFormat="1" applyFont="1" applyFill="1" applyBorder="1" applyAlignment="1">
      <alignment horizontal="center" wrapText="1"/>
    </xf>
    <xf numFmtId="164" fontId="1" fillId="1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11" fillId="0" borderId="8" xfId="0" applyNumberFormat="1" applyFont="1" applyFill="1" applyBorder="1" applyAlignment="1">
      <alignment wrapText="1"/>
    </xf>
    <xf numFmtId="0" fontId="0" fillId="0" borderId="9" xfId="0" applyNumberFormat="1" applyBorder="1" applyAlignment="1">
      <alignment horizontal="center"/>
    </xf>
    <xf numFmtId="0" fontId="1" fillId="0" borderId="8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27" xfId="0" applyNumberFormat="1" applyBorder="1"/>
    <xf numFmtId="14" fontId="0" fillId="0" borderId="27" xfId="0" applyNumberFormat="1" applyBorder="1"/>
    <xf numFmtId="0" fontId="9" fillId="0" borderId="27" xfId="0" applyNumberFormat="1" applyFont="1" applyFill="1" applyBorder="1"/>
    <xf numFmtId="0" fontId="0" fillId="0" borderId="27" xfId="0" applyNumberFormat="1" applyFill="1" applyBorder="1"/>
    <xf numFmtId="164" fontId="9" fillId="0" borderId="27" xfId="0" applyNumberFormat="1" applyFont="1" applyFill="1" applyBorder="1"/>
    <xf numFmtId="164" fontId="0" fillId="0" borderId="29" xfId="0" applyNumberFormat="1" applyFill="1" applyBorder="1" applyAlignment="1">
      <alignment horizontal="center"/>
    </xf>
    <xf numFmtId="9" fontId="0" fillId="0" borderId="27" xfId="0" applyNumberFormat="1" applyFill="1" applyBorder="1"/>
    <xf numFmtId="0" fontId="0" fillId="0" borderId="27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8" xfId="0" applyNumberFormat="1" applyFill="1" applyBorder="1" applyAlignment="1">
      <alignment vertical="center" wrapText="1"/>
    </xf>
    <xf numFmtId="0" fontId="13" fillId="6" borderId="24" xfId="0" applyNumberFormat="1" applyFont="1" applyFill="1" applyBorder="1" applyAlignment="1">
      <alignment horizontal="left" vertical="top" wrapText="1"/>
    </xf>
    <xf numFmtId="0" fontId="13" fillId="6" borderId="14" xfId="0" applyNumberFormat="1" applyFont="1" applyFill="1" applyBorder="1" applyAlignment="1">
      <alignment horizontal="left" vertical="top" wrapText="1"/>
    </xf>
    <xf numFmtId="164" fontId="0" fillId="0" borderId="16" xfId="0" applyNumberFormat="1" applyBorder="1"/>
    <xf numFmtId="1" fontId="1" fillId="6" borderId="25" xfId="0" applyNumberFormat="1" applyFont="1" applyFill="1" applyBorder="1" applyAlignment="1">
      <alignment horizontal="center" wrapText="1"/>
    </xf>
    <xf numFmtId="1" fontId="1" fillId="6" borderId="26" xfId="0" applyNumberFormat="1" applyFont="1" applyFill="1" applyBorder="1" applyAlignment="1">
      <alignment horizontal="center" wrapText="1"/>
    </xf>
    <xf numFmtId="1" fontId="1" fillId="6" borderId="7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64" fontId="1" fillId="0" borderId="8" xfId="0" applyNumberFormat="1" applyFont="1" applyBorder="1"/>
    <xf numFmtId="164" fontId="10" fillId="0" borderId="8" xfId="0" applyNumberFormat="1" applyFont="1" applyBorder="1"/>
    <xf numFmtId="1" fontId="1" fillId="6" borderId="13" xfId="0" applyNumberFormat="1" applyFont="1" applyFill="1" applyBorder="1" applyAlignment="1">
      <alignment horizontal="center" wrapText="1"/>
    </xf>
    <xf numFmtId="165" fontId="0" fillId="0" borderId="13" xfId="0" applyNumberFormat="1" applyBorder="1"/>
    <xf numFmtId="164" fontId="1" fillId="6" borderId="25" xfId="0" applyNumberFormat="1" applyFont="1" applyFill="1" applyBorder="1" applyAlignment="1">
      <alignment horizontal="center" wrapText="1"/>
    </xf>
    <xf numFmtId="164" fontId="1" fillId="6" borderId="7" xfId="0" applyNumberFormat="1" applyFont="1" applyFill="1" applyBorder="1" applyAlignment="1">
      <alignment horizontal="center" wrapText="1"/>
    </xf>
    <xf numFmtId="164" fontId="1" fillId="8" borderId="8" xfId="0" applyNumberFormat="1" applyFont="1" applyFill="1" applyBorder="1"/>
    <xf numFmtId="164" fontId="1" fillId="6" borderId="30" xfId="0" applyNumberFormat="1" applyFont="1" applyFill="1" applyBorder="1" applyAlignment="1">
      <alignment horizontal="center" wrapText="1"/>
    </xf>
    <xf numFmtId="0" fontId="0" fillId="0" borderId="15" xfId="0" applyNumberFormat="1" applyFill="1" applyBorder="1" applyAlignment="1">
      <alignment horizontal="center" wrapText="1"/>
    </xf>
    <xf numFmtId="0" fontId="0" fillId="0" borderId="15" xfId="0" applyNumberFormat="1" applyFill="1" applyBorder="1"/>
    <xf numFmtId="16" fontId="0" fillId="0" borderId="15" xfId="0" applyNumberFormat="1" applyFill="1" applyBorder="1"/>
    <xf numFmtId="16" fontId="0" fillId="0" borderId="31" xfId="0" applyNumberFormat="1" applyFill="1" applyBorder="1"/>
    <xf numFmtId="165" fontId="0" fillId="0" borderId="8" xfId="0" applyNumberFormat="1" applyFill="1" applyBorder="1"/>
    <xf numFmtId="0" fontId="0" fillId="0" borderId="9" xfId="0" applyNumberFormat="1" applyFill="1" applyBorder="1"/>
    <xf numFmtId="0" fontId="0" fillId="0" borderId="9" xfId="0" applyNumberFormat="1" applyFill="1" applyBorder="1" applyAlignment="1">
      <alignment wrapText="1"/>
    </xf>
    <xf numFmtId="0" fontId="0" fillId="3" borderId="9" xfId="0" applyNumberFormat="1" applyFill="1" applyBorder="1" applyAlignment="1">
      <alignment wrapText="1"/>
    </xf>
    <xf numFmtId="0" fontId="0" fillId="3" borderId="9" xfId="0" applyNumberFormat="1" applyFill="1" applyBorder="1"/>
    <xf numFmtId="0" fontId="0" fillId="0" borderId="11" xfId="0" applyNumberFormat="1" applyFill="1" applyBorder="1"/>
    <xf numFmtId="0" fontId="0" fillId="0" borderId="8" xfId="0" applyNumberFormat="1" applyFill="1" applyBorder="1" applyAlignment="1">
      <alignment wrapText="1"/>
    </xf>
    <xf numFmtId="0" fontId="1" fillId="0" borderId="8" xfId="0" applyNumberFormat="1" applyFont="1" applyFill="1" applyBorder="1" applyAlignment="1">
      <alignment wrapText="1"/>
    </xf>
    <xf numFmtId="165" fontId="1" fillId="0" borderId="13" xfId="0" applyNumberFormat="1" applyFont="1" applyBorder="1"/>
    <xf numFmtId="166" fontId="0" fillId="0" borderId="14" xfId="0" applyNumberFormat="1" applyFont="1" applyBorder="1"/>
    <xf numFmtId="165" fontId="1" fillId="0" borderId="8" xfId="0" applyNumberFormat="1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13" xfId="1" xr:uid="{91E0F952-4EA9-4553-B39C-E1D773EF3914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8304-7317-4957-A62E-A4BDAE586182}">
  <dimension ref="A1:C35"/>
  <sheetViews>
    <sheetView workbookViewId="0">
      <pane xSplit="1" topLeftCell="B1" activePane="topRight" state="frozen"/>
      <selection pane="topRight" activeCell="A19" sqref="A19"/>
    </sheetView>
  </sheetViews>
  <sheetFormatPr defaultColWidth="8.33203125" defaultRowHeight="13.5" x14ac:dyDescent="0.35"/>
  <cols>
    <col min="1" max="1" width="52" style="6" bestFit="1" customWidth="1"/>
    <col min="2" max="2" width="20.08203125" style="9" customWidth="1"/>
    <col min="3" max="3" width="14.5" style="6" bestFit="1" customWidth="1"/>
    <col min="4" max="16384" width="8.33203125" style="6"/>
  </cols>
  <sheetData>
    <row r="1" spans="1:3" ht="18.75" customHeight="1" thickBot="1" x14ac:dyDescent="0.4">
      <c r="A1" s="171" t="s">
        <v>3</v>
      </c>
      <c r="B1" s="172"/>
    </row>
    <row r="2" spans="1:3" ht="14" thickBot="1" x14ac:dyDescent="0.4">
      <c r="A2" s="7"/>
      <c r="B2" s="8"/>
    </row>
    <row r="3" spans="1:3" ht="14" thickBot="1" x14ac:dyDescent="0.4">
      <c r="A3" s="10" t="s">
        <v>4</v>
      </c>
      <c r="B3" s="77" t="s">
        <v>5</v>
      </c>
    </row>
    <row r="4" spans="1:3" ht="13.5" customHeight="1" x14ac:dyDescent="0.35">
      <c r="A4" s="11" t="s">
        <v>6</v>
      </c>
      <c r="B4" s="12">
        <f>'Dues based on Revenue'!R2-B6</f>
        <v>2950310.5</v>
      </c>
      <c r="C4" s="13"/>
    </row>
    <row r="5" spans="1:3" ht="17.25" customHeight="1" x14ac:dyDescent="0.35">
      <c r="A5" s="14" t="s">
        <v>7</v>
      </c>
      <c r="B5" s="15">
        <f>'Dues based on Revenue'!M2</f>
        <v>302863.5</v>
      </c>
    </row>
    <row r="6" spans="1:3" ht="17.25" customHeight="1" x14ac:dyDescent="0.35">
      <c r="A6" s="14" t="s">
        <v>8</v>
      </c>
      <c r="B6" s="15">
        <f>'Dues based on Revenue'!O2</f>
        <v>57825</v>
      </c>
    </row>
    <row r="7" spans="1:3" ht="17.25" customHeight="1" x14ac:dyDescent="0.35">
      <c r="A7" s="14" t="s">
        <v>9</v>
      </c>
      <c r="B7" s="15">
        <v>350000</v>
      </c>
    </row>
    <row r="8" spans="1:3" ht="17.25" customHeight="1" x14ac:dyDescent="0.35">
      <c r="A8" s="16" t="s">
        <v>10</v>
      </c>
      <c r="B8" s="75">
        <f>-'Dues based on Revenue'!W2</f>
        <v>-479742.9</v>
      </c>
    </row>
    <row r="9" spans="1:3" ht="17.25" customHeight="1" thickBot="1" x14ac:dyDescent="0.4">
      <c r="A9" s="17" t="s">
        <v>11</v>
      </c>
      <c r="B9" s="18">
        <f>SUM(B4:B8)</f>
        <v>3181256.1</v>
      </c>
    </row>
    <row r="10" spans="1:3" ht="17.25" customHeight="1" thickBot="1" x14ac:dyDescent="0.4">
      <c r="A10" s="19"/>
      <c r="B10" s="20"/>
    </row>
    <row r="11" spans="1:3" ht="14" thickBot="1" x14ac:dyDescent="0.4">
      <c r="A11" s="21" t="s">
        <v>12</v>
      </c>
      <c r="B11" s="22" t="s">
        <v>5</v>
      </c>
    </row>
    <row r="12" spans="1:3" ht="18" customHeight="1" x14ac:dyDescent="0.35">
      <c r="A12" s="11" t="s">
        <v>13</v>
      </c>
      <c r="B12" s="12">
        <f>'Dues based on FTE'!Q2-'Dues based on FTE'!N2</f>
        <v>392040</v>
      </c>
    </row>
    <row r="13" spans="1:3" ht="18" customHeight="1" x14ac:dyDescent="0.35">
      <c r="A13" s="14" t="s">
        <v>7</v>
      </c>
      <c r="B13" s="15">
        <f>'Dues based on FTE'!L2</f>
        <v>2070</v>
      </c>
    </row>
    <row r="14" spans="1:3" ht="18" customHeight="1" x14ac:dyDescent="0.35">
      <c r="A14" s="14" t="s">
        <v>8</v>
      </c>
      <c r="B14" s="15">
        <f>'Dues based on FTE'!N2</f>
        <v>7385</v>
      </c>
    </row>
    <row r="15" spans="1:3" ht="18" customHeight="1" x14ac:dyDescent="0.35">
      <c r="A15" s="14" t="s">
        <v>14</v>
      </c>
      <c r="B15" s="15">
        <v>250000</v>
      </c>
    </row>
    <row r="16" spans="1:3" ht="18" customHeight="1" x14ac:dyDescent="0.35">
      <c r="A16" s="16" t="s">
        <v>15</v>
      </c>
      <c r="B16" s="75">
        <f>-'Dues based on FTE'!V2</f>
        <v>-402452.3000000001</v>
      </c>
    </row>
    <row r="17" spans="1:3" ht="18" customHeight="1" thickBot="1" x14ac:dyDescent="0.4">
      <c r="A17" s="24" t="s">
        <v>16</v>
      </c>
      <c r="B17" s="25">
        <f>SUM(B12:B16)</f>
        <v>249042.6999999999</v>
      </c>
    </row>
    <row r="18" spans="1:3" ht="17.25" customHeight="1" thickBot="1" x14ac:dyDescent="0.4">
      <c r="A18" s="26" t="s">
        <v>93</v>
      </c>
      <c r="B18" s="92">
        <f>B17+B9</f>
        <v>3430298.8</v>
      </c>
      <c r="C18" s="13"/>
    </row>
    <row r="19" spans="1:3" ht="12.75" customHeight="1" x14ac:dyDescent="0.35">
      <c r="B19" s="6"/>
    </row>
    <row r="20" spans="1:3" x14ac:dyDescent="0.35">
      <c r="A20" s="27"/>
      <c r="B20" s="23"/>
    </row>
    <row r="23" spans="1:3" x14ac:dyDescent="0.35">
      <c r="A23" s="27"/>
    </row>
    <row r="25" spans="1:3" x14ac:dyDescent="0.35">
      <c r="B25" s="90"/>
    </row>
    <row r="28" spans="1:3" x14ac:dyDescent="0.35">
      <c r="A28" s="27"/>
      <c r="B28" s="28"/>
    </row>
    <row r="35" spans="1:2" x14ac:dyDescent="0.35">
      <c r="A35" s="27"/>
      <c r="B35" s="28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5C5FE-3797-4E50-9592-AED8396974E0}">
  <dimension ref="A1:AD13"/>
  <sheetViews>
    <sheetView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L13" sqref="L13"/>
    </sheetView>
  </sheetViews>
  <sheetFormatPr defaultColWidth="8.58203125" defaultRowHeight="15.5" x14ac:dyDescent="0.35"/>
  <cols>
    <col min="1" max="1" width="31.58203125" style="1" customWidth="1"/>
    <col min="2" max="2" width="9.83203125" style="1" customWidth="1"/>
    <col min="3" max="3" width="10.33203125" style="1" customWidth="1"/>
    <col min="4" max="6" width="8.58203125" style="1" customWidth="1"/>
    <col min="7" max="7" width="11.83203125" style="1" customWidth="1"/>
    <col min="8" max="8" width="7.08203125" style="1" customWidth="1"/>
    <col min="9" max="9" width="17.08203125" style="2" customWidth="1"/>
    <col min="10" max="10" width="14.83203125" style="2" customWidth="1"/>
    <col min="11" max="11" width="12.58203125" style="1" customWidth="1"/>
    <col min="12" max="13" width="13.5" style="1" customWidth="1"/>
    <col min="14" max="14" width="12.83203125" style="54" customWidth="1"/>
    <col min="15" max="15" width="10.33203125" style="2" customWidth="1"/>
    <col min="16" max="16" width="12.83203125" style="1" customWidth="1"/>
    <col min="17" max="17" width="21.33203125" style="2" customWidth="1"/>
    <col min="18" max="18" width="12.58203125" style="2" customWidth="1"/>
    <col min="19" max="19" width="12" style="2" customWidth="1"/>
    <col min="20" max="20" width="8.58203125" style="1" customWidth="1"/>
    <col min="21" max="21" width="9.83203125" style="58" customWidth="1"/>
    <col min="22" max="22" width="8.58203125" style="1" customWidth="1"/>
    <col min="23" max="23" width="9.83203125" style="2" customWidth="1"/>
    <col min="24" max="24" width="11.58203125" style="1" customWidth="1"/>
    <col min="25" max="25" width="12.33203125" style="1" customWidth="1"/>
    <col min="26" max="26" width="12.33203125" style="66" customWidth="1"/>
    <col min="27" max="27" width="239.5" style="1" bestFit="1" customWidth="1"/>
    <col min="28" max="28" width="12.58203125" style="1" customWidth="1"/>
    <col min="29" max="29" width="15.58203125" style="79" customWidth="1"/>
    <col min="30" max="30" width="11.33203125" style="87" bestFit="1" customWidth="1"/>
    <col min="31" max="16384" width="8.58203125" style="1"/>
  </cols>
  <sheetData>
    <row r="1" spans="1:30" s="4" customFormat="1" ht="43.5" customHeight="1" thickBot="1" x14ac:dyDescent="0.4">
      <c r="A1" s="141" t="s">
        <v>69</v>
      </c>
      <c r="B1" s="120" t="s">
        <v>17</v>
      </c>
      <c r="C1" s="120" t="s">
        <v>18</v>
      </c>
      <c r="D1" s="121" t="s">
        <v>19</v>
      </c>
      <c r="E1" s="121" t="s">
        <v>20</v>
      </c>
      <c r="F1" s="113" t="s">
        <v>22</v>
      </c>
      <c r="G1" s="113" t="s">
        <v>23</v>
      </c>
      <c r="H1" s="113" t="s">
        <v>24</v>
      </c>
      <c r="I1" s="113" t="s">
        <v>25</v>
      </c>
      <c r="J1" s="113" t="s">
        <v>26</v>
      </c>
      <c r="K1" s="112" t="s">
        <v>27</v>
      </c>
      <c r="L1" s="113" t="s">
        <v>88</v>
      </c>
      <c r="M1" s="114" t="s">
        <v>89</v>
      </c>
      <c r="N1" s="109" t="s">
        <v>28</v>
      </c>
      <c r="O1" s="110" t="s">
        <v>29</v>
      </c>
      <c r="P1" s="110" t="s">
        <v>94</v>
      </c>
      <c r="Q1" s="110" t="s">
        <v>0</v>
      </c>
      <c r="R1" s="110" t="s">
        <v>30</v>
      </c>
      <c r="S1" s="111" t="s">
        <v>31</v>
      </c>
      <c r="T1" s="112" t="s">
        <v>32</v>
      </c>
      <c r="U1" s="122" t="s">
        <v>33</v>
      </c>
      <c r="V1" s="113" t="s">
        <v>34</v>
      </c>
      <c r="W1" s="113" t="s">
        <v>35</v>
      </c>
      <c r="X1" s="113" t="s">
        <v>36</v>
      </c>
      <c r="Y1" s="113" t="s">
        <v>37</v>
      </c>
      <c r="Z1" s="113" t="s">
        <v>38</v>
      </c>
      <c r="AA1" s="114" t="s">
        <v>1</v>
      </c>
      <c r="AB1" s="155" t="s">
        <v>39</v>
      </c>
      <c r="AC1" s="123" t="s">
        <v>40</v>
      </c>
      <c r="AD1" s="124" t="s">
        <v>41</v>
      </c>
    </row>
    <row r="2" spans="1:30" s="4" customFormat="1" ht="16.5" customHeight="1" x14ac:dyDescent="0.35">
      <c r="A2" s="125" t="s">
        <v>42</v>
      </c>
      <c r="B2" s="32"/>
      <c r="C2" s="32"/>
      <c r="D2" s="33"/>
      <c r="E2" s="33"/>
      <c r="F2" s="34"/>
      <c r="G2" s="34"/>
      <c r="H2" s="34"/>
      <c r="I2" s="34"/>
      <c r="J2" s="34"/>
      <c r="K2" s="99">
        <f>SUM(K3:K13)</f>
        <v>2637006</v>
      </c>
      <c r="L2" s="67">
        <f>SUM(L3:L13)</f>
        <v>2334142.5</v>
      </c>
      <c r="M2" s="115">
        <f>SUM(M3:M13)</f>
        <v>302863.5</v>
      </c>
      <c r="N2" s="93"/>
      <c r="O2" s="94">
        <f>SUM(O3:O13)</f>
        <v>57825</v>
      </c>
      <c r="P2" s="95">
        <f>SUM(P3:P13)</f>
        <v>3864004</v>
      </c>
      <c r="Q2" s="96">
        <f>SUM(Q3:Q13)</f>
        <v>3324601</v>
      </c>
      <c r="R2" s="97">
        <f>SUM(R3:R13)</f>
        <v>3008135.5</v>
      </c>
      <c r="S2" s="98">
        <f>SUM(S3:S13)</f>
        <v>316465.5</v>
      </c>
      <c r="T2" s="170">
        <f>IFERROR((Q2-$L2)/$L2,"--")</f>
        <v>0.42433506094850676</v>
      </c>
      <c r="U2" s="56">
        <f>SUM(U3:U13)</f>
        <v>1529861.5</v>
      </c>
      <c r="V2" s="34"/>
      <c r="W2" s="74">
        <f>SUM(W3:W13)</f>
        <v>479742.9</v>
      </c>
      <c r="X2" s="34"/>
      <c r="Y2" s="34"/>
      <c r="Z2" s="62"/>
      <c r="AA2" s="100"/>
      <c r="AB2" s="156"/>
      <c r="AC2" s="65"/>
      <c r="AD2" s="126"/>
    </row>
    <row r="3" spans="1:30" ht="30" customHeight="1" x14ac:dyDescent="0.35">
      <c r="A3" s="127" t="s">
        <v>70</v>
      </c>
      <c r="B3" s="45">
        <v>44075</v>
      </c>
      <c r="C3" s="45">
        <v>44196</v>
      </c>
      <c r="D3" s="44">
        <v>100</v>
      </c>
      <c r="E3" s="44">
        <v>1</v>
      </c>
      <c r="F3" s="44">
        <v>2924</v>
      </c>
      <c r="G3" s="44">
        <v>2924</v>
      </c>
      <c r="H3" s="44" t="s">
        <v>44</v>
      </c>
      <c r="I3" s="46">
        <v>4131200000</v>
      </c>
      <c r="J3" s="46">
        <v>4991100000</v>
      </c>
      <c r="K3" s="116">
        <v>74095</v>
      </c>
      <c r="L3" s="46">
        <f>K3</f>
        <v>74095</v>
      </c>
      <c r="M3" s="102">
        <v>0</v>
      </c>
      <c r="N3" s="101">
        <v>406668</v>
      </c>
      <c r="O3" s="46"/>
      <c r="P3" s="55">
        <v>406668</v>
      </c>
      <c r="Q3" s="42">
        <v>406668</v>
      </c>
      <c r="R3" s="46">
        <v>406668</v>
      </c>
      <c r="S3" s="102">
        <f>Q3-R3</f>
        <v>0</v>
      </c>
      <c r="T3" s="160">
        <f>IFERROR((Q3-$L3)/$L3,"--")</f>
        <v>4.4884675079290099</v>
      </c>
      <c r="U3" s="57">
        <f>P3-L3</f>
        <v>332573</v>
      </c>
      <c r="V3" s="53">
        <v>0</v>
      </c>
      <c r="W3" s="46">
        <f>Q3*V3</f>
        <v>0</v>
      </c>
      <c r="X3" s="44" t="s">
        <v>45</v>
      </c>
      <c r="Y3" s="44">
        <v>0</v>
      </c>
      <c r="Z3" s="89" t="s">
        <v>43</v>
      </c>
      <c r="AA3" s="161"/>
      <c r="AB3" s="157"/>
      <c r="AC3" s="76" t="s">
        <v>49</v>
      </c>
      <c r="AD3" s="128" t="s">
        <v>49</v>
      </c>
    </row>
    <row r="4" spans="1:30" ht="31.5" customHeight="1" x14ac:dyDescent="0.35">
      <c r="A4" s="140" t="s">
        <v>66</v>
      </c>
      <c r="B4" s="45">
        <v>44044</v>
      </c>
      <c r="C4" s="45">
        <v>44196</v>
      </c>
      <c r="D4" s="44">
        <v>100</v>
      </c>
      <c r="E4" s="44">
        <v>1</v>
      </c>
      <c r="F4" s="44">
        <v>400</v>
      </c>
      <c r="G4" s="44">
        <v>400</v>
      </c>
      <c r="H4" s="44" t="s">
        <v>44</v>
      </c>
      <c r="I4" s="46">
        <v>131500000</v>
      </c>
      <c r="J4" s="46">
        <v>117295000</v>
      </c>
      <c r="K4" s="116">
        <v>11250</v>
      </c>
      <c r="L4" s="46">
        <v>11250</v>
      </c>
      <c r="M4" s="102">
        <v>0</v>
      </c>
      <c r="N4" s="101">
        <v>54000</v>
      </c>
      <c r="O4" s="46"/>
      <c r="P4" s="61">
        <v>107000</v>
      </c>
      <c r="Q4" s="42">
        <v>53500</v>
      </c>
      <c r="R4" s="46">
        <v>53500</v>
      </c>
      <c r="S4" s="102">
        <f t="shared" ref="S4:S13" si="0">Q4-R4</f>
        <v>0</v>
      </c>
      <c r="T4" s="160">
        <f t="shared" ref="T4:T13" si="1">IFERROR((Q4-$L4)/$L4,"--")</f>
        <v>3.7555555555555555</v>
      </c>
      <c r="U4" s="57">
        <f t="shared" ref="U4:U13" si="2">P4-L4</f>
        <v>95750</v>
      </c>
      <c r="V4" s="53">
        <v>0.2</v>
      </c>
      <c r="W4" s="46">
        <f t="shared" ref="W4:W13" si="3">Q4*V4</f>
        <v>10700</v>
      </c>
      <c r="X4" s="44" t="s">
        <v>45</v>
      </c>
      <c r="Y4" s="44">
        <v>0</v>
      </c>
      <c r="Z4" s="89" t="s">
        <v>43</v>
      </c>
      <c r="AA4" s="162" t="s">
        <v>46</v>
      </c>
      <c r="AB4" s="158">
        <v>44061</v>
      </c>
      <c r="AC4" s="76" t="s">
        <v>49</v>
      </c>
      <c r="AD4" s="128" t="s">
        <v>49</v>
      </c>
    </row>
    <row r="5" spans="1:30" ht="28.5" customHeight="1" x14ac:dyDescent="0.35">
      <c r="A5" s="166" t="s">
        <v>56</v>
      </c>
      <c r="B5" s="38">
        <v>43831</v>
      </c>
      <c r="C5" s="38">
        <v>44196</v>
      </c>
      <c r="D5" s="37">
        <v>100</v>
      </c>
      <c r="E5" s="37">
        <v>1</v>
      </c>
      <c r="F5" s="49">
        <v>63</v>
      </c>
      <c r="G5" s="48">
        <v>75</v>
      </c>
      <c r="H5" s="38" t="s">
        <v>44</v>
      </c>
      <c r="I5" s="39">
        <v>0</v>
      </c>
      <c r="J5" s="40">
        <v>102000000</v>
      </c>
      <c r="K5" s="117">
        <v>11340</v>
      </c>
      <c r="L5" s="46">
        <v>11340</v>
      </c>
      <c r="M5" s="102">
        <v>0</v>
      </c>
      <c r="N5" s="101">
        <v>107318</v>
      </c>
      <c r="O5" s="46"/>
      <c r="P5" s="61">
        <v>107318</v>
      </c>
      <c r="Q5" s="61">
        <v>53659</v>
      </c>
      <c r="R5" s="46">
        <v>53659</v>
      </c>
      <c r="S5" s="102">
        <f t="shared" si="0"/>
        <v>0</v>
      </c>
      <c r="T5" s="160">
        <f t="shared" si="1"/>
        <v>3.7318342151675483</v>
      </c>
      <c r="U5" s="57">
        <f t="shared" si="2"/>
        <v>95978</v>
      </c>
      <c r="V5" s="43">
        <v>0</v>
      </c>
      <c r="W5" s="46">
        <f t="shared" si="3"/>
        <v>0</v>
      </c>
      <c r="X5" s="37" t="s">
        <v>49</v>
      </c>
      <c r="Y5" s="44">
        <v>2</v>
      </c>
      <c r="Z5" s="89">
        <v>29197.01</v>
      </c>
      <c r="AA5" s="161" t="s">
        <v>72</v>
      </c>
      <c r="AB5" s="158">
        <v>44063</v>
      </c>
      <c r="AC5" s="76" t="s">
        <v>49</v>
      </c>
      <c r="AD5" s="128" t="s">
        <v>49</v>
      </c>
    </row>
    <row r="6" spans="1:30" ht="31" x14ac:dyDescent="0.35">
      <c r="A6" s="166" t="s">
        <v>57</v>
      </c>
      <c r="B6" s="38">
        <v>43831</v>
      </c>
      <c r="C6" s="38">
        <v>44196</v>
      </c>
      <c r="D6" s="37">
        <v>100</v>
      </c>
      <c r="E6" s="37">
        <v>1</v>
      </c>
      <c r="F6" s="49">
        <v>158</v>
      </c>
      <c r="G6" s="48"/>
      <c r="H6" s="38" t="s">
        <v>44</v>
      </c>
      <c r="I6" s="39">
        <v>13947000</v>
      </c>
      <c r="J6" s="40">
        <v>43800000</v>
      </c>
      <c r="K6" s="118">
        <v>28440</v>
      </c>
      <c r="L6" s="46">
        <v>28440</v>
      </c>
      <c r="M6" s="102">
        <v>0</v>
      </c>
      <c r="N6" s="101">
        <v>82227</v>
      </c>
      <c r="O6" s="46"/>
      <c r="P6" s="61">
        <v>82227</v>
      </c>
      <c r="Q6" s="61">
        <v>50000</v>
      </c>
      <c r="R6" s="46">
        <v>50000</v>
      </c>
      <c r="S6" s="102">
        <f t="shared" si="0"/>
        <v>0</v>
      </c>
      <c r="T6" s="160">
        <f t="shared" si="1"/>
        <v>0.7580872011251758</v>
      </c>
      <c r="U6" s="57">
        <f t="shared" si="2"/>
        <v>53787</v>
      </c>
      <c r="V6" s="43">
        <v>0.13</v>
      </c>
      <c r="W6" s="46">
        <f t="shared" si="3"/>
        <v>6500</v>
      </c>
      <c r="X6" s="37" t="s">
        <v>49</v>
      </c>
      <c r="Y6" s="44">
        <v>2</v>
      </c>
      <c r="Z6" s="89">
        <v>10608.869999999999</v>
      </c>
      <c r="AA6" s="161" t="s">
        <v>47</v>
      </c>
      <c r="AB6" s="158">
        <v>44063</v>
      </c>
      <c r="AC6" s="76" t="s">
        <v>49</v>
      </c>
      <c r="AD6" s="128" t="s">
        <v>49</v>
      </c>
    </row>
    <row r="7" spans="1:30" ht="31" x14ac:dyDescent="0.35">
      <c r="A7" s="127" t="s">
        <v>59</v>
      </c>
      <c r="B7" s="38">
        <v>43831</v>
      </c>
      <c r="C7" s="38">
        <v>44196</v>
      </c>
      <c r="D7" s="37">
        <v>100</v>
      </c>
      <c r="E7" s="37">
        <v>1</v>
      </c>
      <c r="F7" s="51">
        <v>737</v>
      </c>
      <c r="G7" s="44">
        <v>817</v>
      </c>
      <c r="H7" s="44" t="s">
        <v>44</v>
      </c>
      <c r="I7" s="52">
        <v>254922000</v>
      </c>
      <c r="J7" s="46">
        <v>1122599000</v>
      </c>
      <c r="K7" s="117">
        <v>148196</v>
      </c>
      <c r="L7" s="46">
        <v>148196</v>
      </c>
      <c r="M7" s="102">
        <v>0</v>
      </c>
      <c r="N7" s="101">
        <v>349796</v>
      </c>
      <c r="O7" s="46"/>
      <c r="P7" s="55">
        <v>349796</v>
      </c>
      <c r="Q7" s="61">
        <v>200000</v>
      </c>
      <c r="R7" s="46">
        <v>200000</v>
      </c>
      <c r="S7" s="102">
        <f t="shared" si="0"/>
        <v>0</v>
      </c>
      <c r="T7" s="160">
        <f t="shared" si="1"/>
        <v>0.34956409079867201</v>
      </c>
      <c r="U7" s="57">
        <f t="shared" si="2"/>
        <v>201600</v>
      </c>
      <c r="V7" s="53">
        <v>0.25</v>
      </c>
      <c r="W7" s="46">
        <f t="shared" si="3"/>
        <v>50000</v>
      </c>
      <c r="X7" s="44" t="s">
        <v>49</v>
      </c>
      <c r="Y7" s="44">
        <v>6</v>
      </c>
      <c r="Z7" s="89">
        <v>3471850.8278787886</v>
      </c>
      <c r="AA7" s="161" t="s">
        <v>48</v>
      </c>
      <c r="AB7" s="158">
        <v>44061</v>
      </c>
      <c r="AC7" s="76" t="s">
        <v>49</v>
      </c>
      <c r="AD7" s="128" t="s">
        <v>49</v>
      </c>
    </row>
    <row r="8" spans="1:30" ht="39.5" customHeight="1" x14ac:dyDescent="0.35">
      <c r="A8" s="167" t="s">
        <v>58</v>
      </c>
      <c r="B8" s="38">
        <v>43831</v>
      </c>
      <c r="C8" s="38">
        <v>44196</v>
      </c>
      <c r="D8" s="37">
        <v>100</v>
      </c>
      <c r="E8" s="37">
        <v>1</v>
      </c>
      <c r="F8" s="51">
        <v>1323</v>
      </c>
      <c r="G8" s="44">
        <v>1065</v>
      </c>
      <c r="H8" s="44" t="s">
        <v>44</v>
      </c>
      <c r="I8" s="52">
        <v>74908000</v>
      </c>
      <c r="J8" s="46">
        <v>219750000</v>
      </c>
      <c r="K8" s="117">
        <v>86204</v>
      </c>
      <c r="L8" s="46">
        <v>86204</v>
      </c>
      <c r="M8" s="102">
        <v>0</v>
      </c>
      <c r="N8" s="101">
        <v>141626</v>
      </c>
      <c r="O8" s="46"/>
      <c r="P8" s="55">
        <v>141626</v>
      </c>
      <c r="Q8" s="42">
        <v>141626</v>
      </c>
      <c r="R8" s="46">
        <v>141626</v>
      </c>
      <c r="S8" s="102">
        <f t="shared" si="0"/>
        <v>0</v>
      </c>
      <c r="T8" s="160">
        <f t="shared" si="1"/>
        <v>0.64291680200454737</v>
      </c>
      <c r="U8" s="57">
        <f t="shared" si="2"/>
        <v>55422</v>
      </c>
      <c r="V8" s="53">
        <v>0</v>
      </c>
      <c r="W8" s="46">
        <f t="shared" si="3"/>
        <v>0</v>
      </c>
      <c r="X8" s="44" t="s">
        <v>49</v>
      </c>
      <c r="Y8" s="44">
        <v>100</v>
      </c>
      <c r="Z8" s="89">
        <v>4080216.7</v>
      </c>
      <c r="AA8" s="161"/>
      <c r="AB8" s="158">
        <v>44057</v>
      </c>
      <c r="AC8" s="76" t="s">
        <v>49</v>
      </c>
      <c r="AD8" s="128" t="s">
        <v>49</v>
      </c>
    </row>
    <row r="9" spans="1:30" ht="33.5" customHeight="1" x14ac:dyDescent="0.35">
      <c r="A9" s="166" t="s">
        <v>67</v>
      </c>
      <c r="B9" s="38">
        <v>43922</v>
      </c>
      <c r="C9" s="38">
        <v>44286</v>
      </c>
      <c r="D9" s="37">
        <v>100</v>
      </c>
      <c r="E9" s="37">
        <v>1</v>
      </c>
      <c r="F9" s="51">
        <v>1376</v>
      </c>
      <c r="G9" s="44">
        <v>15348</v>
      </c>
      <c r="H9" s="44" t="s">
        <v>2</v>
      </c>
      <c r="I9" s="52">
        <v>910331929</v>
      </c>
      <c r="J9" s="46">
        <v>9500000000</v>
      </c>
      <c r="K9" s="117">
        <v>317930</v>
      </c>
      <c r="L9" s="46">
        <v>238447.5</v>
      </c>
      <c r="M9" s="102">
        <v>79482.5</v>
      </c>
      <c r="N9" s="101">
        <v>472588</v>
      </c>
      <c r="O9" s="46"/>
      <c r="P9" s="55">
        <v>472588</v>
      </c>
      <c r="Q9" s="61">
        <v>350000</v>
      </c>
      <c r="R9" s="46">
        <f>(Q9/12)*9</f>
        <v>262500</v>
      </c>
      <c r="S9" s="102">
        <f t="shared" si="0"/>
        <v>87500</v>
      </c>
      <c r="T9" s="160">
        <f t="shared" si="1"/>
        <v>0.46782834795919437</v>
      </c>
      <c r="U9" s="57">
        <f t="shared" si="2"/>
        <v>234140.5</v>
      </c>
      <c r="V9" s="91">
        <v>1</v>
      </c>
      <c r="W9" s="46">
        <f t="shared" si="3"/>
        <v>350000</v>
      </c>
      <c r="X9" s="44" t="s">
        <v>45</v>
      </c>
      <c r="Y9" s="44">
        <v>0</v>
      </c>
      <c r="Z9" s="89" t="s">
        <v>43</v>
      </c>
      <c r="AA9" s="161"/>
      <c r="AB9" s="157"/>
      <c r="AC9" s="76" t="s">
        <v>49</v>
      </c>
      <c r="AD9" s="128" t="s">
        <v>49</v>
      </c>
    </row>
    <row r="10" spans="1:30" ht="31" customHeight="1" x14ac:dyDescent="0.35">
      <c r="A10" s="167" t="s">
        <v>60</v>
      </c>
      <c r="B10" s="38">
        <v>43831</v>
      </c>
      <c r="C10" s="38">
        <v>44196</v>
      </c>
      <c r="D10" s="37">
        <v>100</v>
      </c>
      <c r="E10" s="37">
        <v>1</v>
      </c>
      <c r="F10" s="51">
        <v>42672</v>
      </c>
      <c r="G10" s="44">
        <v>42672</v>
      </c>
      <c r="H10" s="44" t="s">
        <v>44</v>
      </c>
      <c r="I10" s="52">
        <v>16704485200</v>
      </c>
      <c r="J10" s="46">
        <v>19380000000</v>
      </c>
      <c r="K10" s="117">
        <v>450000</v>
      </c>
      <c r="L10" s="46">
        <v>450000</v>
      </c>
      <c r="M10" s="102">
        <v>0</v>
      </c>
      <c r="N10" s="101">
        <v>575008</v>
      </c>
      <c r="O10" s="46">
        <v>2625</v>
      </c>
      <c r="P10" s="55">
        <v>577633</v>
      </c>
      <c r="Q10" s="61">
        <v>450000</v>
      </c>
      <c r="R10" s="46">
        <v>450000</v>
      </c>
      <c r="S10" s="102">
        <f t="shared" si="0"/>
        <v>0</v>
      </c>
      <c r="T10" s="160">
        <f t="shared" si="1"/>
        <v>0</v>
      </c>
      <c r="U10" s="57">
        <f t="shared" si="2"/>
        <v>127633</v>
      </c>
      <c r="V10" s="53">
        <v>0</v>
      </c>
      <c r="W10" s="46">
        <f t="shared" si="3"/>
        <v>0</v>
      </c>
      <c r="X10" s="44" t="s">
        <v>49</v>
      </c>
      <c r="Y10" s="44">
        <v>77</v>
      </c>
      <c r="Z10" s="89">
        <v>0</v>
      </c>
      <c r="AA10" s="163" t="s">
        <v>62</v>
      </c>
      <c r="AB10" s="157"/>
      <c r="AC10" s="76" t="s">
        <v>49</v>
      </c>
      <c r="AD10" s="128" t="s">
        <v>49</v>
      </c>
    </row>
    <row r="11" spans="1:30" ht="31" x14ac:dyDescent="0.35">
      <c r="A11" s="167" t="s">
        <v>61</v>
      </c>
      <c r="B11" s="38">
        <v>43831</v>
      </c>
      <c r="C11" s="38">
        <v>44196</v>
      </c>
      <c r="D11" s="37">
        <v>100</v>
      </c>
      <c r="E11" s="37">
        <v>1</v>
      </c>
      <c r="F11" s="51">
        <v>82089</v>
      </c>
      <c r="G11" s="44">
        <v>82089</v>
      </c>
      <c r="H11" s="44" t="s">
        <v>44</v>
      </c>
      <c r="I11" s="52">
        <v>57772589800</v>
      </c>
      <c r="J11" s="46">
        <v>61466000000</v>
      </c>
      <c r="K11" s="117">
        <v>888454</v>
      </c>
      <c r="L11" s="46">
        <v>888454</v>
      </c>
      <c r="M11" s="102">
        <v>0</v>
      </c>
      <c r="N11" s="101">
        <v>927323</v>
      </c>
      <c r="O11" s="46">
        <v>55200</v>
      </c>
      <c r="P11" s="55">
        <v>982523</v>
      </c>
      <c r="Q11" s="42">
        <v>982523</v>
      </c>
      <c r="R11" s="46">
        <v>982523</v>
      </c>
      <c r="S11" s="102">
        <f t="shared" si="0"/>
        <v>0</v>
      </c>
      <c r="T11" s="160">
        <f t="shared" si="1"/>
        <v>0.10587942650941973</v>
      </c>
      <c r="U11" s="57">
        <f t="shared" si="2"/>
        <v>94069</v>
      </c>
      <c r="V11" s="53">
        <v>0</v>
      </c>
      <c r="W11" s="46">
        <f t="shared" si="3"/>
        <v>0</v>
      </c>
      <c r="X11" s="44" t="s">
        <v>45</v>
      </c>
      <c r="Y11" s="44">
        <v>45</v>
      </c>
      <c r="Z11" s="89" t="s">
        <v>43</v>
      </c>
      <c r="AA11" s="164" t="s">
        <v>71</v>
      </c>
      <c r="AB11" s="158">
        <v>44061</v>
      </c>
      <c r="AC11" s="76" t="s">
        <v>49</v>
      </c>
      <c r="AD11" s="128" t="s">
        <v>49</v>
      </c>
    </row>
    <row r="12" spans="1:30" ht="36" customHeight="1" x14ac:dyDescent="0.35">
      <c r="A12" s="129" t="s">
        <v>63</v>
      </c>
      <c r="B12" s="38">
        <v>44013</v>
      </c>
      <c r="C12" s="38">
        <v>44377</v>
      </c>
      <c r="D12" s="37">
        <v>100</v>
      </c>
      <c r="E12" s="37">
        <v>1</v>
      </c>
      <c r="F12" s="51">
        <v>11000</v>
      </c>
      <c r="G12" s="44">
        <v>15000</v>
      </c>
      <c r="H12" s="44" t="s">
        <v>44</v>
      </c>
      <c r="I12" s="52">
        <v>8500000000</v>
      </c>
      <c r="J12" s="46">
        <v>7481000000</v>
      </c>
      <c r="K12" s="117">
        <v>446762</v>
      </c>
      <c r="L12" s="46">
        <v>223381</v>
      </c>
      <c r="M12" s="102">
        <v>223381</v>
      </c>
      <c r="N12" s="101">
        <v>457931</v>
      </c>
      <c r="O12" s="46"/>
      <c r="P12" s="55">
        <v>457931</v>
      </c>
      <c r="Q12" s="42">
        <v>457931</v>
      </c>
      <c r="R12" s="46">
        <f>(Q12/12)*6</f>
        <v>228965.5</v>
      </c>
      <c r="S12" s="102">
        <f t="shared" si="0"/>
        <v>228965.5</v>
      </c>
      <c r="T12" s="160">
        <f t="shared" si="1"/>
        <v>1.0499997761671762</v>
      </c>
      <c r="U12" s="57">
        <f t="shared" si="2"/>
        <v>234550</v>
      </c>
      <c r="V12" s="53">
        <v>0</v>
      </c>
      <c r="W12" s="46">
        <f t="shared" si="3"/>
        <v>0</v>
      </c>
      <c r="X12" s="44" t="s">
        <v>49</v>
      </c>
      <c r="Y12" s="44">
        <v>57</v>
      </c>
      <c r="Z12" s="89">
        <v>52200.771712862894</v>
      </c>
      <c r="AA12" s="161"/>
      <c r="AB12" s="158">
        <v>44057</v>
      </c>
      <c r="AC12" s="76" t="s">
        <v>49</v>
      </c>
      <c r="AD12" s="128" t="s">
        <v>49</v>
      </c>
    </row>
    <row r="13" spans="1:30" ht="28.5" customHeight="1" thickBot="1" x14ac:dyDescent="0.4">
      <c r="A13" s="130" t="s">
        <v>65</v>
      </c>
      <c r="B13" s="132">
        <v>43831</v>
      </c>
      <c r="C13" s="132">
        <v>44196</v>
      </c>
      <c r="D13" s="131">
        <v>100</v>
      </c>
      <c r="E13" s="131">
        <v>1</v>
      </c>
      <c r="F13" s="133">
        <v>515</v>
      </c>
      <c r="G13" s="134">
        <v>515</v>
      </c>
      <c r="H13" s="134" t="s">
        <v>44</v>
      </c>
      <c r="I13" s="135">
        <v>346639000</v>
      </c>
      <c r="J13" s="105">
        <v>428413000</v>
      </c>
      <c r="K13" s="119">
        <v>174335</v>
      </c>
      <c r="L13" s="105">
        <v>174335</v>
      </c>
      <c r="M13" s="108">
        <v>0</v>
      </c>
      <c r="N13" s="104">
        <v>178694</v>
      </c>
      <c r="O13" s="105"/>
      <c r="P13" s="106">
        <v>178694</v>
      </c>
      <c r="Q13" s="107">
        <v>178694</v>
      </c>
      <c r="R13" s="105">
        <v>178694</v>
      </c>
      <c r="S13" s="108">
        <f t="shared" si="0"/>
        <v>0</v>
      </c>
      <c r="T13" s="160">
        <f t="shared" si="1"/>
        <v>2.5003585051768147E-2</v>
      </c>
      <c r="U13" s="57">
        <f t="shared" si="2"/>
        <v>4359</v>
      </c>
      <c r="V13" s="137">
        <v>0.35</v>
      </c>
      <c r="W13" s="105">
        <f t="shared" si="3"/>
        <v>62542.899999999994</v>
      </c>
      <c r="X13" s="134" t="s">
        <v>49</v>
      </c>
      <c r="Y13" s="134">
        <v>6</v>
      </c>
      <c r="Z13" s="136" t="s">
        <v>55</v>
      </c>
      <c r="AA13" s="165" t="s">
        <v>64</v>
      </c>
      <c r="AB13" s="159">
        <v>44061</v>
      </c>
      <c r="AC13" s="138" t="s">
        <v>49</v>
      </c>
      <c r="AD13" s="139" t="s">
        <v>49</v>
      </c>
    </row>
  </sheetData>
  <autoFilter ref="A1:AC13" xr:uid="{96597C08-A325-42CD-8090-955DDCA599CA}"/>
  <sortState xmlns:xlrd2="http://schemas.microsoft.com/office/spreadsheetml/2017/richdata2" ref="A3:AC13">
    <sortCondition descending="1" ref="T3:T13"/>
  </sortState>
  <phoneticPr fontId="12" type="noConversion"/>
  <conditionalFormatting sqref="A14:A1048576 A1:A12">
    <cfRule type="duplicateValues" dxfId="5" priority="13"/>
  </conditionalFormatting>
  <conditionalFormatting sqref="A13">
    <cfRule type="duplicateValues" dxfId="4" priority="4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14E65-A2A8-47A6-81D0-6F23AC1602C0}">
  <dimension ref="A1:AP7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7" sqref="V7"/>
    </sheetView>
  </sheetViews>
  <sheetFormatPr defaultRowHeight="15.5" x14ac:dyDescent="0.35"/>
  <cols>
    <col min="1" max="1" width="31.33203125" customWidth="1"/>
    <col min="2" max="2" width="8.58203125" customWidth="1"/>
    <col min="3" max="3" width="12.08203125" customWidth="1"/>
    <col min="4" max="4" width="10.33203125" customWidth="1"/>
    <col min="5" max="6" width="10.33203125" style="5" customWidth="1"/>
    <col min="7" max="7" width="7.08203125" customWidth="1"/>
    <col min="8" max="8" width="12.58203125" style="3" customWidth="1"/>
    <col min="9" max="9" width="14.58203125" style="3" customWidth="1"/>
    <col min="10" max="10" width="9.83203125" style="60" customWidth="1"/>
    <col min="11" max="11" width="13" customWidth="1"/>
    <col min="12" max="12" width="12.58203125" customWidth="1"/>
    <col min="13" max="13" width="10.58203125" style="30" customWidth="1"/>
    <col min="14" max="14" width="10.58203125" style="3" customWidth="1"/>
    <col min="15" max="15" width="12.58203125" customWidth="1"/>
    <col min="16" max="16" width="14.58203125" style="3" customWidth="1"/>
    <col min="17" max="17" width="15" customWidth="1"/>
    <col min="18" max="18" width="12.33203125" style="3" customWidth="1"/>
    <col min="19" max="19" width="11.33203125" customWidth="1"/>
    <col min="20" max="20" width="12.58203125" customWidth="1"/>
    <col min="21" max="21" width="9.83203125" customWidth="1"/>
    <col min="22" max="22" width="8.6640625" style="3" customWidth="1"/>
    <col min="23" max="23" width="7.83203125" customWidth="1"/>
    <col min="24" max="24" width="10.08203125" customWidth="1"/>
    <col min="25" max="25" width="60" customWidth="1"/>
    <col min="27" max="27" width="8" customWidth="1"/>
    <col min="28" max="28" width="8" style="87" customWidth="1"/>
  </cols>
  <sheetData>
    <row r="1" spans="1:42" s="4" customFormat="1" ht="45.65" customHeight="1" x14ac:dyDescent="0.35">
      <c r="A1" s="142" t="s">
        <v>68</v>
      </c>
      <c r="B1" s="68" t="s">
        <v>21</v>
      </c>
      <c r="C1" s="69" t="s">
        <v>17</v>
      </c>
      <c r="D1" s="69" t="s">
        <v>18</v>
      </c>
      <c r="E1" s="70" t="s">
        <v>22</v>
      </c>
      <c r="F1" s="70" t="s">
        <v>23</v>
      </c>
      <c r="G1" s="71" t="s">
        <v>24</v>
      </c>
      <c r="H1" s="71" t="s">
        <v>25</v>
      </c>
      <c r="I1" s="88" t="s">
        <v>26</v>
      </c>
      <c r="J1" s="144" t="s">
        <v>27</v>
      </c>
      <c r="K1" s="145" t="s">
        <v>88</v>
      </c>
      <c r="L1" s="146" t="s">
        <v>89</v>
      </c>
      <c r="M1" s="152" t="s">
        <v>50</v>
      </c>
      <c r="N1" s="123" t="s">
        <v>29</v>
      </c>
      <c r="O1" s="145" t="s">
        <v>92</v>
      </c>
      <c r="P1" s="123" t="s">
        <v>5</v>
      </c>
      <c r="Q1" s="145" t="s">
        <v>90</v>
      </c>
      <c r="R1" s="153" t="s">
        <v>91</v>
      </c>
      <c r="S1" s="150" t="s">
        <v>32</v>
      </c>
      <c r="T1" s="70" t="s">
        <v>33</v>
      </c>
      <c r="U1" s="70" t="s">
        <v>34</v>
      </c>
      <c r="V1" s="71" t="s">
        <v>35</v>
      </c>
      <c r="W1" s="70" t="s">
        <v>51</v>
      </c>
      <c r="X1" s="70" t="s">
        <v>52</v>
      </c>
      <c r="Y1" s="80" t="s">
        <v>1</v>
      </c>
      <c r="Z1" s="80" t="s">
        <v>53</v>
      </c>
      <c r="AA1" s="80" t="s">
        <v>40</v>
      </c>
      <c r="AB1" s="86" t="s">
        <v>41</v>
      </c>
      <c r="AC1" s="29"/>
      <c r="AD1" s="29"/>
      <c r="AE1" s="29"/>
      <c r="AF1" s="29"/>
      <c r="AG1" s="29"/>
      <c r="AH1" s="29"/>
      <c r="AI1" s="29"/>
      <c r="AJ1" s="29"/>
    </row>
    <row r="2" spans="1:42" ht="20" customHeight="1" x14ac:dyDescent="0.35">
      <c r="A2" s="31" t="s">
        <v>42</v>
      </c>
      <c r="B2" s="31"/>
      <c r="C2" s="32"/>
      <c r="D2" s="32"/>
      <c r="E2" s="35"/>
      <c r="F2" s="35"/>
      <c r="G2" s="34"/>
      <c r="H2" s="34"/>
      <c r="I2" s="62"/>
      <c r="J2" s="147"/>
      <c r="K2" s="34">
        <f>SUM(K3:K13)</f>
        <v>300337</v>
      </c>
      <c r="L2" s="100">
        <f>SUM(L3:L13)</f>
        <v>2070</v>
      </c>
      <c r="M2" s="99"/>
      <c r="N2" s="34">
        <f>SUM(N3:N13)</f>
        <v>7385</v>
      </c>
      <c r="O2" s="73">
        <f>SUM(O3:O13)</f>
        <v>456125</v>
      </c>
      <c r="P2" s="72">
        <f>SUM(P3:P13)</f>
        <v>393125</v>
      </c>
      <c r="Q2" s="67">
        <f>SUM(Q3:Q13)</f>
        <v>399425</v>
      </c>
      <c r="R2" s="100">
        <f>SUM(R3:R13)</f>
        <v>2700</v>
      </c>
      <c r="S2" s="168">
        <f>IFERROR((P2-$K2)/$K2,"--")</f>
        <v>0.30894628367467214</v>
      </c>
      <c r="T2" s="34">
        <v>632364</v>
      </c>
      <c r="U2" s="35"/>
      <c r="V2" s="74">
        <v>402452.3000000001</v>
      </c>
      <c r="W2" s="35"/>
      <c r="X2" s="35"/>
      <c r="Y2" s="81"/>
      <c r="Z2" s="35"/>
      <c r="AA2" s="35"/>
      <c r="AB2" s="85"/>
      <c r="AC2" s="29"/>
      <c r="AD2" s="29"/>
      <c r="AE2" s="29"/>
      <c r="AF2" s="29"/>
      <c r="AG2" s="29"/>
      <c r="AH2" s="29"/>
      <c r="AI2" s="29"/>
      <c r="AJ2" s="29"/>
      <c r="AK2" s="4"/>
      <c r="AL2" s="4"/>
      <c r="AM2" s="4"/>
      <c r="AN2" s="4"/>
      <c r="AO2" s="4"/>
      <c r="AP2" s="4"/>
    </row>
    <row r="3" spans="1:42" s="4" customFormat="1" ht="20" customHeight="1" x14ac:dyDescent="0.35">
      <c r="A3" s="44" t="s">
        <v>73</v>
      </c>
      <c r="B3" s="44" t="s">
        <v>45</v>
      </c>
      <c r="C3" s="38">
        <v>43831</v>
      </c>
      <c r="D3" s="38">
        <v>44196</v>
      </c>
      <c r="E3" s="49">
        <v>610</v>
      </c>
      <c r="F3" s="48">
        <v>839</v>
      </c>
      <c r="G3" s="38" t="s">
        <v>44</v>
      </c>
      <c r="H3" s="39">
        <v>51495000</v>
      </c>
      <c r="I3" s="143">
        <v>104000000</v>
      </c>
      <c r="J3" s="148">
        <v>63187</v>
      </c>
      <c r="K3" s="46">
        <v>63187</v>
      </c>
      <c r="L3" s="102">
        <v>0</v>
      </c>
      <c r="M3" s="149">
        <v>54000</v>
      </c>
      <c r="N3" s="41">
        <v>6125</v>
      </c>
      <c r="O3" s="59">
        <v>60125</v>
      </c>
      <c r="P3" s="42">
        <v>60125</v>
      </c>
      <c r="Q3" s="40">
        <v>60125</v>
      </c>
      <c r="R3" s="103">
        <v>0</v>
      </c>
      <c r="S3" s="151">
        <f>IFERROR((P3-$K3)/$K3,"--")</f>
        <v>-4.8459334989792206E-2</v>
      </c>
      <c r="T3" s="169">
        <f>P3-K3</f>
        <v>-3062</v>
      </c>
      <c r="U3" s="43">
        <v>0</v>
      </c>
      <c r="V3" s="40">
        <f>U3*P3</f>
        <v>0</v>
      </c>
      <c r="W3" s="37" t="s">
        <v>49</v>
      </c>
      <c r="X3" s="37">
        <v>37</v>
      </c>
      <c r="Y3" s="64" t="s">
        <v>83</v>
      </c>
      <c r="Z3" s="83">
        <v>44057</v>
      </c>
      <c r="AA3" s="37" t="s">
        <v>49</v>
      </c>
      <c r="AB3" s="84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4" customFormat="1" ht="20" customHeight="1" x14ac:dyDescent="0.35">
      <c r="A4" s="36" t="s">
        <v>74</v>
      </c>
      <c r="B4" s="37" t="s">
        <v>49</v>
      </c>
      <c r="C4" s="38">
        <v>43831</v>
      </c>
      <c r="D4" s="38">
        <v>44196</v>
      </c>
      <c r="E4" s="49">
        <v>73</v>
      </c>
      <c r="F4" s="48">
        <v>330</v>
      </c>
      <c r="G4" s="38" t="s">
        <v>44</v>
      </c>
      <c r="H4" s="39">
        <v>4000000</v>
      </c>
      <c r="I4" s="143">
        <v>0</v>
      </c>
      <c r="J4" s="148">
        <v>13140</v>
      </c>
      <c r="K4" s="46">
        <v>13140</v>
      </c>
      <c r="L4" s="102">
        <v>0</v>
      </c>
      <c r="M4" s="148">
        <v>54000</v>
      </c>
      <c r="N4" s="40"/>
      <c r="O4" s="59">
        <v>54000</v>
      </c>
      <c r="P4" s="61">
        <v>35000</v>
      </c>
      <c r="Q4" s="40">
        <v>35000</v>
      </c>
      <c r="R4" s="103">
        <v>0</v>
      </c>
      <c r="S4" s="151">
        <f t="shared" ref="S4:S13" si="0">IFERROR((P4-$K4)/$K4,"--")</f>
        <v>1.6636225266362252</v>
      </c>
      <c r="T4" s="169">
        <f t="shared" ref="T4:T13" si="1">P4-K4</f>
        <v>21860</v>
      </c>
      <c r="U4" s="43">
        <v>0</v>
      </c>
      <c r="V4" s="40">
        <f t="shared" ref="V4:V13" si="2">U4*P4</f>
        <v>0</v>
      </c>
      <c r="W4" s="37" t="s">
        <v>49</v>
      </c>
      <c r="X4" s="37">
        <v>7</v>
      </c>
      <c r="Y4" s="82"/>
      <c r="Z4" s="83">
        <v>44063</v>
      </c>
      <c r="AA4" s="37" t="s">
        <v>49</v>
      </c>
      <c r="AB4" s="8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ht="20" customHeight="1" x14ac:dyDescent="0.35">
      <c r="A5" s="37" t="s">
        <v>75</v>
      </c>
      <c r="B5" s="37" t="s">
        <v>45</v>
      </c>
      <c r="C5" s="38">
        <v>43831</v>
      </c>
      <c r="D5" s="38">
        <v>44196</v>
      </c>
      <c r="E5" s="49">
        <v>76</v>
      </c>
      <c r="F5" s="48">
        <v>500</v>
      </c>
      <c r="G5" s="38" t="s">
        <v>44</v>
      </c>
      <c r="H5" s="39">
        <v>0</v>
      </c>
      <c r="I5" s="143">
        <v>0</v>
      </c>
      <c r="J5" s="148">
        <v>13680</v>
      </c>
      <c r="K5" s="46">
        <v>13680</v>
      </c>
      <c r="L5" s="102">
        <v>0</v>
      </c>
      <c r="M5" s="148">
        <v>54000</v>
      </c>
      <c r="N5" s="40"/>
      <c r="O5" s="59">
        <v>54000</v>
      </c>
      <c r="P5" s="61">
        <v>35000</v>
      </c>
      <c r="Q5" s="40">
        <v>35000</v>
      </c>
      <c r="R5" s="103">
        <v>0</v>
      </c>
      <c r="S5" s="151">
        <f t="shared" si="0"/>
        <v>1.5584795321637428</v>
      </c>
      <c r="T5" s="169">
        <f t="shared" si="1"/>
        <v>21320</v>
      </c>
      <c r="U5" s="78">
        <v>0</v>
      </c>
      <c r="V5" s="40">
        <f t="shared" si="2"/>
        <v>0</v>
      </c>
      <c r="W5" s="37" t="s">
        <v>49</v>
      </c>
      <c r="X5" s="37">
        <v>2</v>
      </c>
      <c r="Y5" s="82"/>
      <c r="Z5" s="83">
        <v>44057</v>
      </c>
      <c r="AA5" s="37" t="s">
        <v>49</v>
      </c>
      <c r="AB5" s="84"/>
    </row>
    <row r="6" spans="1:42" ht="20" customHeight="1" x14ac:dyDescent="0.35">
      <c r="A6" s="37" t="s">
        <v>76</v>
      </c>
      <c r="B6" s="37" t="s">
        <v>45</v>
      </c>
      <c r="C6" s="38">
        <v>43831</v>
      </c>
      <c r="D6" s="38">
        <v>44196</v>
      </c>
      <c r="E6" s="49">
        <v>125</v>
      </c>
      <c r="F6" s="48">
        <v>350</v>
      </c>
      <c r="G6" s="38" t="s">
        <v>44</v>
      </c>
      <c r="H6" s="39">
        <v>34288000</v>
      </c>
      <c r="I6" s="143">
        <v>0</v>
      </c>
      <c r="J6" s="148">
        <v>22500</v>
      </c>
      <c r="K6" s="46">
        <v>22500</v>
      </c>
      <c r="L6" s="102">
        <v>0</v>
      </c>
      <c r="M6" s="148">
        <v>54000</v>
      </c>
      <c r="N6" s="40"/>
      <c r="O6" s="59">
        <v>54000</v>
      </c>
      <c r="P6" s="61">
        <v>38000</v>
      </c>
      <c r="Q6" s="40">
        <v>38000</v>
      </c>
      <c r="R6" s="103">
        <v>0</v>
      </c>
      <c r="S6" s="151">
        <f t="shared" si="0"/>
        <v>0.68888888888888888</v>
      </c>
      <c r="T6" s="169">
        <f t="shared" si="1"/>
        <v>15500</v>
      </c>
      <c r="U6" s="43">
        <v>0</v>
      </c>
      <c r="V6" s="40">
        <f t="shared" si="2"/>
        <v>0</v>
      </c>
      <c r="W6" s="37" t="s">
        <v>49</v>
      </c>
      <c r="X6" s="37">
        <v>27</v>
      </c>
      <c r="Y6" s="82" t="s">
        <v>84</v>
      </c>
      <c r="Z6" s="83">
        <v>44057</v>
      </c>
      <c r="AA6" s="37" t="s">
        <v>49</v>
      </c>
      <c r="AB6" s="84"/>
    </row>
    <row r="7" spans="1:42" ht="20" customHeight="1" x14ac:dyDescent="0.35">
      <c r="A7" s="44" t="s">
        <v>77</v>
      </c>
      <c r="B7" s="44" t="s">
        <v>45</v>
      </c>
      <c r="C7" s="45">
        <v>43831</v>
      </c>
      <c r="D7" s="45">
        <v>44196</v>
      </c>
      <c r="E7" s="48">
        <v>188</v>
      </c>
      <c r="F7" s="48">
        <v>304</v>
      </c>
      <c r="G7" s="37" t="s">
        <v>44</v>
      </c>
      <c r="H7" s="40">
        <v>3124000</v>
      </c>
      <c r="I7" s="143">
        <v>289590000</v>
      </c>
      <c r="J7" s="148">
        <v>33840</v>
      </c>
      <c r="K7" s="40">
        <v>33840</v>
      </c>
      <c r="L7" s="103">
        <v>0</v>
      </c>
      <c r="M7" s="148">
        <v>54000</v>
      </c>
      <c r="N7" s="40"/>
      <c r="O7" s="59">
        <v>54000</v>
      </c>
      <c r="P7" s="61">
        <v>45000</v>
      </c>
      <c r="Q7" s="40">
        <v>54000</v>
      </c>
      <c r="R7" s="103">
        <v>0</v>
      </c>
      <c r="S7" s="151">
        <f t="shared" si="0"/>
        <v>0.32978723404255317</v>
      </c>
      <c r="T7" s="169">
        <f t="shared" si="1"/>
        <v>11160</v>
      </c>
      <c r="U7" s="78">
        <v>0</v>
      </c>
      <c r="V7" s="40">
        <f t="shared" si="2"/>
        <v>0</v>
      </c>
      <c r="W7" s="37" t="s">
        <v>49</v>
      </c>
      <c r="X7" s="37">
        <v>10</v>
      </c>
      <c r="Y7" s="82" t="s">
        <v>82</v>
      </c>
      <c r="Z7" s="37"/>
      <c r="AA7" s="37" t="s">
        <v>49</v>
      </c>
      <c r="AB7" s="84"/>
    </row>
    <row r="8" spans="1:42" ht="20" customHeight="1" x14ac:dyDescent="0.35">
      <c r="A8" s="44" t="s">
        <v>78</v>
      </c>
      <c r="B8" s="37" t="s">
        <v>45</v>
      </c>
      <c r="C8" s="38">
        <v>43831</v>
      </c>
      <c r="D8" s="38">
        <v>44196</v>
      </c>
      <c r="E8" s="49">
        <v>217</v>
      </c>
      <c r="F8" s="48">
        <v>419</v>
      </c>
      <c r="G8" s="38" t="s">
        <v>44</v>
      </c>
      <c r="H8" s="39">
        <v>44521000</v>
      </c>
      <c r="I8" s="143">
        <v>66512000</v>
      </c>
      <c r="J8" s="148">
        <v>39060</v>
      </c>
      <c r="K8" s="46">
        <v>39060</v>
      </c>
      <c r="L8" s="102">
        <v>0</v>
      </c>
      <c r="M8" s="149">
        <v>54000</v>
      </c>
      <c r="N8" s="40"/>
      <c r="O8" s="59">
        <v>54000</v>
      </c>
      <c r="P8" s="42">
        <v>54000</v>
      </c>
      <c r="Q8" s="40">
        <v>54000</v>
      </c>
      <c r="R8" s="103">
        <v>0</v>
      </c>
      <c r="S8" s="151">
        <f t="shared" si="0"/>
        <v>0.38248847926267282</v>
      </c>
      <c r="T8" s="169">
        <f t="shared" si="1"/>
        <v>14940</v>
      </c>
      <c r="U8" s="78">
        <v>0.18</v>
      </c>
      <c r="V8" s="40">
        <f t="shared" si="2"/>
        <v>9720</v>
      </c>
      <c r="W8" s="37" t="s">
        <v>49</v>
      </c>
      <c r="X8" s="37">
        <v>7</v>
      </c>
      <c r="Y8" s="82"/>
      <c r="Z8" s="83">
        <v>44068</v>
      </c>
      <c r="AA8" s="37" t="s">
        <v>49</v>
      </c>
      <c r="AB8" s="84"/>
    </row>
    <row r="9" spans="1:42" ht="20" customHeight="1" x14ac:dyDescent="0.35">
      <c r="A9" s="36" t="s">
        <v>79</v>
      </c>
      <c r="B9" s="37" t="s">
        <v>49</v>
      </c>
      <c r="C9" s="38">
        <v>43831</v>
      </c>
      <c r="D9" s="38">
        <v>44196</v>
      </c>
      <c r="E9" s="49">
        <v>302</v>
      </c>
      <c r="F9" s="48">
        <v>334</v>
      </c>
      <c r="G9" s="38" t="s">
        <v>44</v>
      </c>
      <c r="H9" s="39">
        <v>84452000</v>
      </c>
      <c r="I9" s="143">
        <v>0</v>
      </c>
      <c r="J9" s="148">
        <v>54000</v>
      </c>
      <c r="K9" s="46">
        <v>54000</v>
      </c>
      <c r="L9" s="102">
        <v>0</v>
      </c>
      <c r="M9" s="148">
        <v>54000</v>
      </c>
      <c r="N9" s="40"/>
      <c r="O9" s="59">
        <v>54000</v>
      </c>
      <c r="P9" s="42">
        <v>54000</v>
      </c>
      <c r="Q9" s="40">
        <v>54000</v>
      </c>
      <c r="R9" s="103">
        <v>0</v>
      </c>
      <c r="S9" s="151">
        <f t="shared" si="0"/>
        <v>0</v>
      </c>
      <c r="T9" s="169">
        <f t="shared" si="1"/>
        <v>0</v>
      </c>
      <c r="U9" s="43">
        <v>0</v>
      </c>
      <c r="V9" s="40">
        <f t="shared" si="2"/>
        <v>0</v>
      </c>
      <c r="W9" s="37" t="s">
        <v>49</v>
      </c>
      <c r="X9" s="37">
        <v>19</v>
      </c>
      <c r="Y9" s="82"/>
      <c r="Z9" s="83">
        <v>44057</v>
      </c>
      <c r="AA9" s="37" t="s">
        <v>49</v>
      </c>
      <c r="AB9" s="84"/>
    </row>
    <row r="10" spans="1:42" ht="20" customHeight="1" x14ac:dyDescent="0.35">
      <c r="A10" s="47" t="s">
        <v>80</v>
      </c>
      <c r="B10" s="37" t="s">
        <v>49</v>
      </c>
      <c r="C10" s="38">
        <v>43831</v>
      </c>
      <c r="D10" s="38">
        <v>44196</v>
      </c>
      <c r="E10" s="49">
        <v>300</v>
      </c>
      <c r="F10" s="48">
        <v>369</v>
      </c>
      <c r="G10" s="38" t="s">
        <v>44</v>
      </c>
      <c r="H10" s="39">
        <v>999</v>
      </c>
      <c r="I10" s="143">
        <v>2108000</v>
      </c>
      <c r="J10" s="148">
        <v>54000</v>
      </c>
      <c r="K10" s="46">
        <v>54000</v>
      </c>
      <c r="L10" s="102">
        <v>0</v>
      </c>
      <c r="M10" s="148">
        <v>54000</v>
      </c>
      <c r="N10" s="40"/>
      <c r="O10" s="59">
        <v>54000</v>
      </c>
      <c r="P10" s="42">
        <v>54000</v>
      </c>
      <c r="Q10" s="40">
        <v>54000</v>
      </c>
      <c r="R10" s="103">
        <v>0</v>
      </c>
      <c r="S10" s="151">
        <f t="shared" si="0"/>
        <v>0</v>
      </c>
      <c r="T10" s="169">
        <f t="shared" si="1"/>
        <v>0</v>
      </c>
      <c r="U10" s="43">
        <v>0</v>
      </c>
      <c r="V10" s="40">
        <f t="shared" si="2"/>
        <v>0</v>
      </c>
      <c r="W10" s="37" t="s">
        <v>49</v>
      </c>
      <c r="X10" s="37">
        <v>32</v>
      </c>
      <c r="Y10" s="82"/>
      <c r="Z10" s="83">
        <v>44057</v>
      </c>
      <c r="AA10" s="37" t="s">
        <v>49</v>
      </c>
      <c r="AB10" s="84"/>
    </row>
    <row r="11" spans="1:42" ht="20" customHeight="1" x14ac:dyDescent="0.35">
      <c r="A11" s="50" t="s">
        <v>85</v>
      </c>
      <c r="B11" s="50" t="s">
        <v>45</v>
      </c>
      <c r="C11" s="38">
        <v>43831</v>
      </c>
      <c r="D11" s="38">
        <v>44196</v>
      </c>
      <c r="E11" s="49">
        <v>20</v>
      </c>
      <c r="F11" s="48">
        <v>33</v>
      </c>
      <c r="G11" s="38" t="s">
        <v>44</v>
      </c>
      <c r="H11" s="39">
        <v>0</v>
      </c>
      <c r="I11" s="143">
        <v>0</v>
      </c>
      <c r="J11" s="148">
        <v>3600</v>
      </c>
      <c r="K11" s="46">
        <v>3600</v>
      </c>
      <c r="L11" s="102">
        <v>0</v>
      </c>
      <c r="M11" s="148">
        <v>5940</v>
      </c>
      <c r="N11" s="40">
        <v>1260</v>
      </c>
      <c r="O11" s="59">
        <v>7200</v>
      </c>
      <c r="P11" s="42">
        <v>7200</v>
      </c>
      <c r="Q11" s="40">
        <v>7200</v>
      </c>
      <c r="R11" s="103">
        <v>0</v>
      </c>
      <c r="S11" s="151">
        <f t="shared" si="0"/>
        <v>1</v>
      </c>
      <c r="T11" s="169">
        <f t="shared" si="1"/>
        <v>3600</v>
      </c>
      <c r="U11" s="78">
        <v>0.18</v>
      </c>
      <c r="V11" s="40">
        <f t="shared" si="2"/>
        <v>1296</v>
      </c>
      <c r="W11" s="37" t="s">
        <v>49</v>
      </c>
      <c r="X11" s="37">
        <v>0</v>
      </c>
      <c r="Y11" s="63" t="s">
        <v>81</v>
      </c>
      <c r="Z11" s="37"/>
      <c r="AA11" s="37" t="s">
        <v>49</v>
      </c>
      <c r="AB11" s="84"/>
    </row>
    <row r="12" spans="1:42" ht="20" customHeight="1" x14ac:dyDescent="0.35">
      <c r="A12" s="36" t="s">
        <v>86</v>
      </c>
      <c r="B12" s="37" t="s">
        <v>49</v>
      </c>
      <c r="C12" s="38">
        <v>43831</v>
      </c>
      <c r="D12" s="38">
        <v>44196</v>
      </c>
      <c r="E12" s="49">
        <v>7</v>
      </c>
      <c r="F12" s="48">
        <v>30</v>
      </c>
      <c r="G12" s="38" t="s">
        <v>2</v>
      </c>
      <c r="H12" s="39">
        <v>0</v>
      </c>
      <c r="I12" s="143">
        <v>0</v>
      </c>
      <c r="J12" s="148">
        <v>1260</v>
      </c>
      <c r="K12" s="46">
        <v>1260</v>
      </c>
      <c r="L12" s="102">
        <v>0</v>
      </c>
      <c r="M12" s="148">
        <v>5400</v>
      </c>
      <c r="N12" s="40"/>
      <c r="O12" s="59">
        <v>5400</v>
      </c>
      <c r="P12" s="42">
        <v>5400</v>
      </c>
      <c r="Q12" s="40">
        <v>5400</v>
      </c>
      <c r="R12" s="103">
        <v>0</v>
      </c>
      <c r="S12" s="151">
        <f t="shared" si="0"/>
        <v>3.2857142857142856</v>
      </c>
      <c r="T12" s="169">
        <f t="shared" si="1"/>
        <v>4140</v>
      </c>
      <c r="U12" s="43">
        <v>0</v>
      </c>
      <c r="V12" s="40">
        <f t="shared" si="2"/>
        <v>0</v>
      </c>
      <c r="W12" s="37" t="s">
        <v>49</v>
      </c>
      <c r="X12" s="37">
        <v>21</v>
      </c>
      <c r="Y12" s="82"/>
      <c r="Z12" s="83">
        <v>44063</v>
      </c>
      <c r="AA12" s="37" t="s">
        <v>49</v>
      </c>
      <c r="AB12" s="84"/>
    </row>
    <row r="13" spans="1:42" ht="20" customHeight="1" x14ac:dyDescent="0.35">
      <c r="A13" s="37" t="s">
        <v>87</v>
      </c>
      <c r="B13" s="37" t="s">
        <v>45</v>
      </c>
      <c r="C13" s="38">
        <v>44013</v>
      </c>
      <c r="D13" s="38">
        <v>44377</v>
      </c>
      <c r="E13" s="49">
        <v>23</v>
      </c>
      <c r="F13" s="48">
        <v>30</v>
      </c>
      <c r="G13" s="38" t="s">
        <v>2</v>
      </c>
      <c r="H13" s="39">
        <v>0</v>
      </c>
      <c r="I13" s="143">
        <v>0</v>
      </c>
      <c r="J13" s="148">
        <v>4140</v>
      </c>
      <c r="K13" s="46">
        <v>2070</v>
      </c>
      <c r="L13" s="102">
        <v>2070</v>
      </c>
      <c r="M13" s="154">
        <v>5400</v>
      </c>
      <c r="N13" s="40"/>
      <c r="O13" s="59">
        <v>5400</v>
      </c>
      <c r="P13" s="42">
        <v>5400</v>
      </c>
      <c r="Q13" s="40">
        <v>2700</v>
      </c>
      <c r="R13" s="103">
        <v>2700</v>
      </c>
      <c r="S13" s="151">
        <f t="shared" si="0"/>
        <v>1.6086956521739131</v>
      </c>
      <c r="T13" s="169">
        <f t="shared" si="1"/>
        <v>3330</v>
      </c>
      <c r="U13" s="78">
        <v>0.18</v>
      </c>
      <c r="V13" s="40">
        <f t="shared" si="2"/>
        <v>972</v>
      </c>
      <c r="W13" s="37" t="s">
        <v>49</v>
      </c>
      <c r="X13" s="37">
        <v>0</v>
      </c>
      <c r="Y13" s="82"/>
      <c r="Z13" s="83">
        <v>44063</v>
      </c>
      <c r="AA13" s="37" t="s">
        <v>49</v>
      </c>
      <c r="AB13" s="84"/>
    </row>
    <row r="74" spans="1:1" x14ac:dyDescent="0.35">
      <c r="A74" t="s">
        <v>54</v>
      </c>
    </row>
  </sheetData>
  <autoFilter ref="A1:AA13" xr:uid="{3D8A78DF-3AD0-4B72-BB2C-760153DC89C7}">
    <sortState xmlns:xlrd2="http://schemas.microsoft.com/office/spreadsheetml/2017/richdata2" ref="A2:AA13">
      <sortCondition descending="1" ref="O1:O13"/>
    </sortState>
  </autoFilter>
  <sortState xmlns:xlrd2="http://schemas.microsoft.com/office/spreadsheetml/2017/richdata2" ref="A3:AB13">
    <sortCondition descending="1" ref="S3:S13"/>
  </sortState>
  <phoneticPr fontId="12" type="noConversion"/>
  <conditionalFormatting sqref="A3:A4">
    <cfRule type="duplicateValues" dxfId="3" priority="17"/>
  </conditionalFormatting>
  <conditionalFormatting sqref="A1">
    <cfRule type="duplicateValues" dxfId="2" priority="10"/>
  </conditionalFormatting>
  <conditionalFormatting sqref="A2">
    <cfRule type="duplicateValues" dxfId="1" priority="9"/>
  </conditionalFormatting>
  <conditionalFormatting sqref="A5:A1048576">
    <cfRule type="duplicateValues" dxfId="0" priority="43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d65c1a-4118-49eb-a065-54f4e9526387">
      <UserInfo>
        <DisplayName>Robin Muthig</DisplayName>
        <AccountId>35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AEB85D181A67489ADE52AF0AFD8DC3" ma:contentTypeVersion="12" ma:contentTypeDescription="Create a new document." ma:contentTypeScope="" ma:versionID="f9da8d743118f65f951122b03d5420ee">
  <xsd:schema xmlns:xsd="http://www.w3.org/2001/XMLSchema" xmlns:xs="http://www.w3.org/2001/XMLSchema" xmlns:p="http://schemas.microsoft.com/office/2006/metadata/properties" xmlns:ns2="2631a090-0a36-416c-9102-28b82b329f00" xmlns:ns3="33d65c1a-4118-49eb-a065-54f4e9526387" targetNamespace="http://schemas.microsoft.com/office/2006/metadata/properties" ma:root="true" ma:fieldsID="3d536a9c32f2ae257da35d614a77e109" ns2:_="" ns3:_="">
    <xsd:import namespace="2631a090-0a36-416c-9102-28b82b329f00"/>
    <xsd:import namespace="33d65c1a-4118-49eb-a065-54f4e95263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1a090-0a36-416c-9102-28b82b329f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65c1a-4118-49eb-a065-54f4e952638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2B488C-C69F-4675-A5A3-4180CF208DEE}">
  <ds:schemaRefs>
    <ds:schemaRef ds:uri="http://purl.org/dc/elements/1.1/"/>
    <ds:schemaRef ds:uri="http://schemas.microsoft.com/office/2006/metadata/properties"/>
    <ds:schemaRef ds:uri="7484c82e-71e0-4aff-9eca-c98740355dd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4f0b58-eb31-4d14-ba78-4ebca164c5a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85B5A2-1084-479F-9921-2E27C841A904}"/>
</file>

<file path=customXml/itemProps3.xml><?xml version="1.0" encoding="utf-8"?>
<ds:datastoreItem xmlns:ds="http://schemas.openxmlformats.org/officeDocument/2006/customXml" ds:itemID="{C806818F-77AB-442B-9CF2-29F82E7C2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Projections</vt:lpstr>
      <vt:lpstr>Dues based on Revenue</vt:lpstr>
      <vt:lpstr>Dues based on FTE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Maidelyn Barrera</dc:creator>
  <cp:keywords/>
  <dc:description/>
  <cp:lastModifiedBy>Vivienne Oxford</cp:lastModifiedBy>
  <cp:revision/>
  <dcterms:created xsi:type="dcterms:W3CDTF">2020-08-05T21:58:25Z</dcterms:created>
  <dcterms:modified xsi:type="dcterms:W3CDTF">2021-04-22T15:29:44Z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0x010100C1AEB85D181A67489ADE52AF0AFD8DC3</vt:lpwstr>
  </property>
</Properties>
</file>